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WORKS\ENGINEERING\Grants\Grants in Progress\BUILD\BUILD2019\FINAL DOCUMENTS\Supporting_Documents\"/>
    </mc:Choice>
  </mc:AlternateContent>
  <xr:revisionPtr revIDLastSave="0" documentId="8_{03300C9A-737C-4525-9024-00F30B5CAC16}" xr6:coauthVersionLast="36" xr6:coauthVersionMax="36" xr10:uidLastSave="{00000000-0000-0000-0000-000000000000}"/>
  <bookViews>
    <workbookView xWindow="0" yWindow="0" windowWidth="22764" windowHeight="8316" tabRatio="867" xr2:uid="{00000000-000D-0000-FFFF-FFFF00000000}"/>
  </bookViews>
  <sheets>
    <sheet name="Assumptions" sheetId="4" r:id="rId1"/>
    <sheet name="Benefits-Cost-calcs" sheetId="5" r:id="rId2"/>
    <sheet name="Costs" sheetId="24" r:id="rId3"/>
    <sheet name="DelayAuto" sheetId="14" r:id="rId4"/>
    <sheet name="DiurnalSmry" sheetId="23" r:id="rId5"/>
    <sheet name="Diurnal" sheetId="18" r:id="rId6"/>
    <sheet name="Transit" sheetId="21" r:id="rId7"/>
    <sheet name="TransitOLD" sheetId="15" state="hidden" r:id="rId8"/>
    <sheet name="BikePed" sheetId="17" r:id="rId9"/>
    <sheet name="Collisions" sheetId="11" r:id="rId10"/>
    <sheet name="Fuel" sheetId="22" r:id="rId11"/>
    <sheet name="Emissions" sheetId="8" r:id="rId12"/>
    <sheet name="Prices" sheetId="13" r:id="rId13"/>
  </sheets>
  <externalReferences>
    <externalReference r:id="rId14"/>
    <externalReference r:id="rId15"/>
  </externalReferences>
  <definedNames>
    <definedName name="_2018P">Prices!$F$13:$I$13</definedName>
    <definedName name="_2019P">Prices!$I$13</definedName>
    <definedName name="base_year">[1]Inputs!$C$8</definedName>
    <definedName name="Disc">[2]Inputs!$D$5</definedName>
    <definedName name="gr_per_Mtonne">Assumptions!$C$58</definedName>
    <definedName name="gr_per_ton">Assumptions!$C$57</definedName>
    <definedName name="_xlnm.Print_Area" localSheetId="3">DelayAuto!$A$4:$G$55</definedName>
    <definedName name="Truck_pct">Assumptions!$B$22</definedName>
    <definedName name="Veh_Occ">Assumptions!$B$26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7" i="5" l="1"/>
  <c r="C25" i="22"/>
  <c r="F53" i="24" l="1"/>
  <c r="F52" i="24"/>
  <c r="F51" i="24"/>
  <c r="F50" i="24"/>
  <c r="F30" i="24"/>
  <c r="F34" i="24" s="1"/>
  <c r="C38" i="24"/>
  <c r="G52" i="24"/>
  <c r="G51" i="24"/>
  <c r="C35" i="24"/>
  <c r="F46" i="24"/>
  <c r="F45" i="24"/>
  <c r="F44" i="24"/>
  <c r="F43" i="24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21" i="5"/>
  <c r="L166" i="5"/>
  <c r="L165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21" i="5"/>
  <c r="K114" i="5"/>
  <c r="J114" i="5"/>
  <c r="I114" i="5"/>
  <c r="H114" i="5"/>
  <c r="G114" i="5"/>
  <c r="F114" i="5"/>
  <c r="E114" i="5"/>
  <c r="C112" i="5"/>
  <c r="AO112" i="5"/>
  <c r="AN112" i="5"/>
  <c r="AM112" i="5"/>
  <c r="AL112" i="5"/>
  <c r="AK112" i="5"/>
  <c r="AJ112" i="5"/>
  <c r="AI112" i="5"/>
  <c r="AH112" i="5"/>
  <c r="AG112" i="5"/>
  <c r="AF112" i="5"/>
  <c r="AE112" i="5"/>
  <c r="AD112" i="5"/>
  <c r="AC112" i="5"/>
  <c r="AB112" i="5"/>
  <c r="AA112" i="5"/>
  <c r="Z112" i="5"/>
  <c r="Y112" i="5"/>
  <c r="X112" i="5"/>
  <c r="W112" i="5"/>
  <c r="V112" i="5"/>
  <c r="U112" i="5"/>
  <c r="T112" i="5"/>
  <c r="S112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K107" i="5"/>
  <c r="J107" i="5"/>
  <c r="I107" i="5"/>
  <c r="H107" i="5"/>
  <c r="G107" i="5"/>
  <c r="F107" i="5"/>
  <c r="E107" i="5"/>
  <c r="AO111" i="5"/>
  <c r="AN111" i="5"/>
  <c r="AM111" i="5"/>
  <c r="AL111" i="5"/>
  <c r="AK111" i="5"/>
  <c r="AJ111" i="5"/>
  <c r="AI111" i="5"/>
  <c r="AH111" i="5"/>
  <c r="AG111" i="5"/>
  <c r="AF111" i="5"/>
  <c r="AE111" i="5"/>
  <c r="AD111" i="5"/>
  <c r="AC111" i="5"/>
  <c r="AB111" i="5"/>
  <c r="AA111" i="5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L111" i="5"/>
  <c r="K111" i="5"/>
  <c r="J111" i="5"/>
  <c r="C111" i="5" s="1"/>
  <c r="I111" i="5"/>
  <c r="H111" i="5"/>
  <c r="G111" i="5"/>
  <c r="F111" i="5"/>
  <c r="AL110" i="5"/>
  <c r="AD110" i="5"/>
  <c r="V110" i="5"/>
  <c r="N110" i="5"/>
  <c r="E111" i="5"/>
  <c r="AL15" i="5"/>
  <c r="AK15" i="5"/>
  <c r="AK110" i="5" s="1"/>
  <c r="AJ15" i="5"/>
  <c r="AJ110" i="5" s="1"/>
  <c r="AH15" i="5"/>
  <c r="AH110" i="5" s="1"/>
  <c r="AD15" i="5"/>
  <c r="AC15" i="5"/>
  <c r="AC110" i="5" s="1"/>
  <c r="AB15" i="5"/>
  <c r="AB110" i="5" s="1"/>
  <c r="Z15" i="5"/>
  <c r="Z110" i="5" s="1"/>
  <c r="V15" i="5"/>
  <c r="U15" i="5"/>
  <c r="U110" i="5" s="1"/>
  <c r="T15" i="5"/>
  <c r="T110" i="5" s="1"/>
  <c r="R15" i="5"/>
  <c r="R110" i="5" s="1"/>
  <c r="N15" i="5"/>
  <c r="M15" i="5"/>
  <c r="M110" i="5" s="1"/>
  <c r="L15" i="5"/>
  <c r="L110" i="5" s="1"/>
  <c r="AO14" i="5"/>
  <c r="AO15" i="5" s="1"/>
  <c r="AO110" i="5" s="1"/>
  <c r="AN14" i="5"/>
  <c r="AN15" i="5" s="1"/>
  <c r="AN110" i="5" s="1"/>
  <c r="AM14" i="5"/>
  <c r="AM15" i="5" s="1"/>
  <c r="AM110" i="5" s="1"/>
  <c r="AL14" i="5"/>
  <c r="AK14" i="5"/>
  <c r="AJ14" i="5"/>
  <c r="AI14" i="5"/>
  <c r="AI15" i="5" s="1"/>
  <c r="AI110" i="5" s="1"/>
  <c r="AH14" i="5"/>
  <c r="AG14" i="5"/>
  <c r="AG15" i="5" s="1"/>
  <c r="AG110" i="5" s="1"/>
  <c r="AF14" i="5"/>
  <c r="AF15" i="5" s="1"/>
  <c r="AF110" i="5" s="1"/>
  <c r="AE14" i="5"/>
  <c r="AE15" i="5" s="1"/>
  <c r="AE110" i="5" s="1"/>
  <c r="AD14" i="5"/>
  <c r="AC14" i="5"/>
  <c r="AB14" i="5"/>
  <c r="AA14" i="5"/>
  <c r="AA15" i="5" s="1"/>
  <c r="AA110" i="5" s="1"/>
  <c r="Z14" i="5"/>
  <c r="Y14" i="5"/>
  <c r="Y15" i="5" s="1"/>
  <c r="Y110" i="5" s="1"/>
  <c r="X14" i="5"/>
  <c r="X15" i="5" s="1"/>
  <c r="X110" i="5" s="1"/>
  <c r="W14" i="5"/>
  <c r="W15" i="5" s="1"/>
  <c r="W110" i="5" s="1"/>
  <c r="V14" i="5"/>
  <c r="U14" i="5"/>
  <c r="T14" i="5"/>
  <c r="S14" i="5"/>
  <c r="S15" i="5" s="1"/>
  <c r="S110" i="5" s="1"/>
  <c r="R14" i="5"/>
  <c r="Q14" i="5"/>
  <c r="Q15" i="5" s="1"/>
  <c r="Q110" i="5" s="1"/>
  <c r="P14" i="5"/>
  <c r="P15" i="5" s="1"/>
  <c r="P110" i="5" s="1"/>
  <c r="O14" i="5"/>
  <c r="O15" i="5" s="1"/>
  <c r="O110" i="5" s="1"/>
  <c r="N14" i="5"/>
  <c r="M14" i="5"/>
  <c r="L14" i="5"/>
  <c r="F14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9" i="5"/>
  <c r="K10" i="5" s="1"/>
  <c r="J13" i="5"/>
  <c r="J14" i="5" s="1"/>
  <c r="J9" i="5"/>
  <c r="J10" i="5" s="1"/>
  <c r="B14" i="4"/>
  <c r="B13" i="4"/>
  <c r="B11" i="4"/>
  <c r="B10" i="4"/>
  <c r="H51" i="24" l="1"/>
  <c r="H52" i="24"/>
  <c r="F54" i="24"/>
  <c r="F47" i="24"/>
  <c r="C16" i="24"/>
  <c r="F39" i="24" s="1"/>
  <c r="G53" i="24"/>
  <c r="H53" i="24" s="1"/>
  <c r="C36" i="24"/>
  <c r="C37" i="24"/>
  <c r="C39" i="24" s="1"/>
  <c r="C30" i="24"/>
  <c r="F35" i="24" s="1"/>
  <c r="F36" i="24" s="1"/>
  <c r="G50" i="24"/>
  <c r="J15" i="5"/>
  <c r="J110" i="5" s="1"/>
  <c r="G158" i="5"/>
  <c r="G155" i="5"/>
  <c r="G139" i="5"/>
  <c r="G165" i="5"/>
  <c r="G164" i="5"/>
  <c r="G163" i="5"/>
  <c r="G162" i="5"/>
  <c r="G161" i="5"/>
  <c r="G160" i="5"/>
  <c r="G159" i="5"/>
  <c r="G157" i="5"/>
  <c r="G156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8" i="5"/>
  <c r="G137" i="5"/>
  <c r="G136" i="5"/>
  <c r="G135" i="5"/>
  <c r="G134" i="5"/>
  <c r="G133" i="5"/>
  <c r="G121" i="5"/>
  <c r="K106" i="5"/>
  <c r="K136" i="5" s="1"/>
  <c r="J106" i="5"/>
  <c r="K135" i="5" s="1"/>
  <c r="I106" i="5"/>
  <c r="K134" i="5" s="1"/>
  <c r="H106" i="5"/>
  <c r="K133" i="5" s="1"/>
  <c r="G106" i="5"/>
  <c r="F106" i="5"/>
  <c r="K105" i="5"/>
  <c r="J136" i="5" s="1"/>
  <c r="J105" i="5"/>
  <c r="J135" i="5" s="1"/>
  <c r="I105" i="5"/>
  <c r="J134" i="5" s="1"/>
  <c r="H105" i="5"/>
  <c r="J133" i="5" s="1"/>
  <c r="G105" i="5"/>
  <c r="J121" i="5" s="1"/>
  <c r="F105" i="5"/>
  <c r="K104" i="5"/>
  <c r="I136" i="5" s="1"/>
  <c r="J104" i="5"/>
  <c r="I135" i="5" s="1"/>
  <c r="I104" i="5"/>
  <c r="I134" i="5" s="1"/>
  <c r="H104" i="5"/>
  <c r="I133" i="5" s="1"/>
  <c r="G104" i="5"/>
  <c r="I121" i="5" s="1"/>
  <c r="F104" i="5"/>
  <c r="E8" i="5"/>
  <c r="E10" i="5" s="1"/>
  <c r="E15" i="5" s="1"/>
  <c r="E110" i="5" s="1"/>
  <c r="E106" i="5"/>
  <c r="E105" i="5"/>
  <c r="E104" i="5"/>
  <c r="B31" i="22"/>
  <c r="C17" i="5"/>
  <c r="W208" i="23"/>
  <c r="W199" i="23"/>
  <c r="P214" i="23"/>
  <c r="P213" i="23"/>
  <c r="R213" i="23" s="1"/>
  <c r="P212" i="23"/>
  <c r="R212" i="23" s="1"/>
  <c r="P211" i="23"/>
  <c r="R211" i="23" s="1"/>
  <c r="P210" i="23"/>
  <c r="P209" i="23"/>
  <c r="R209" i="23" s="1"/>
  <c r="S209" i="23" s="1"/>
  <c r="P208" i="23"/>
  <c r="P207" i="23"/>
  <c r="R207" i="23" s="1"/>
  <c r="S207" i="23" s="1"/>
  <c r="P206" i="23"/>
  <c r="P205" i="23"/>
  <c r="R205" i="23" s="1"/>
  <c r="S205" i="23" s="1"/>
  <c r="P204" i="23"/>
  <c r="R204" i="23" s="1"/>
  <c r="S204" i="23" s="1"/>
  <c r="P203" i="23"/>
  <c r="R203" i="23" s="1"/>
  <c r="S203" i="23" s="1"/>
  <c r="P202" i="23"/>
  <c r="P201" i="23"/>
  <c r="P200" i="23"/>
  <c r="R200" i="23" s="1"/>
  <c r="S200" i="23" s="1"/>
  <c r="P199" i="23"/>
  <c r="R199" i="23" s="1"/>
  <c r="S199" i="23" s="1"/>
  <c r="P198" i="23"/>
  <c r="P197" i="23"/>
  <c r="P196" i="23"/>
  <c r="R196" i="23" s="1"/>
  <c r="P195" i="23"/>
  <c r="R195" i="23" s="1"/>
  <c r="P194" i="23"/>
  <c r="P193" i="23"/>
  <c r="P192" i="23"/>
  <c r="P191" i="23"/>
  <c r="P39" i="23"/>
  <c r="P38" i="23"/>
  <c r="P37" i="23"/>
  <c r="P36" i="23"/>
  <c r="P35" i="23"/>
  <c r="P34" i="23"/>
  <c r="W33" i="23"/>
  <c r="P33" i="23"/>
  <c r="R39" i="23" s="1"/>
  <c r="P32" i="23"/>
  <c r="T33" i="23" s="1"/>
  <c r="P31" i="23"/>
  <c r="P30" i="23"/>
  <c r="P29" i="23"/>
  <c r="P28" i="23"/>
  <c r="P27" i="23"/>
  <c r="P26" i="23"/>
  <c r="W25" i="23"/>
  <c r="P25" i="23"/>
  <c r="P24" i="23"/>
  <c r="P23" i="23"/>
  <c r="R23" i="23" s="1"/>
  <c r="S23" i="23" s="1"/>
  <c r="P22" i="23"/>
  <c r="P21" i="23"/>
  <c r="P20" i="23"/>
  <c r="P19" i="23"/>
  <c r="P18" i="23"/>
  <c r="P17" i="23"/>
  <c r="R17" i="23" s="1"/>
  <c r="P16" i="23"/>
  <c r="R16" i="23" s="1"/>
  <c r="Q10" i="18"/>
  <c r="Q9" i="18"/>
  <c r="A63" i="14"/>
  <c r="K13" i="5"/>
  <c r="K14" i="5" s="1"/>
  <c r="K15" i="5" s="1"/>
  <c r="K110" i="5" s="1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I12" i="5"/>
  <c r="H12" i="5"/>
  <c r="H14" i="5" s="1"/>
  <c r="G12" i="5"/>
  <c r="G14" i="5" s="1"/>
  <c r="I13" i="5"/>
  <c r="I8" i="5"/>
  <c r="H8" i="5"/>
  <c r="H10" i="5" s="1"/>
  <c r="G8" i="5"/>
  <c r="G10" i="5" s="1"/>
  <c r="B32" i="8"/>
  <c r="B31" i="8"/>
  <c r="B30" i="8"/>
  <c r="B29" i="8"/>
  <c r="B28" i="8"/>
  <c r="B26" i="8"/>
  <c r="B25" i="8"/>
  <c r="B24" i="8"/>
  <c r="B23" i="8"/>
  <c r="B22" i="8"/>
  <c r="B19" i="8"/>
  <c r="B18" i="8"/>
  <c r="B17" i="8"/>
  <c r="B16" i="8"/>
  <c r="B15" i="8"/>
  <c r="B13" i="8"/>
  <c r="B12" i="8"/>
  <c r="B11" i="8"/>
  <c r="B10" i="8"/>
  <c r="B9" i="8"/>
  <c r="B25" i="22"/>
  <c r="M4" i="5"/>
  <c r="G54" i="24" l="1"/>
  <c r="H50" i="24"/>
  <c r="H54" i="24" s="1"/>
  <c r="I14" i="5"/>
  <c r="H15" i="5"/>
  <c r="H110" i="5" s="1"/>
  <c r="C14" i="5"/>
  <c r="G15" i="5"/>
  <c r="G110" i="5" s="1"/>
  <c r="C12" i="5"/>
  <c r="K121" i="5"/>
  <c r="C8" i="5"/>
  <c r="C13" i="5"/>
  <c r="R19" i="23"/>
  <c r="R34" i="23"/>
  <c r="S34" i="23" s="1"/>
  <c r="R25" i="23"/>
  <c r="S25" i="23" s="1"/>
  <c r="R26" i="23"/>
  <c r="S26" i="23" s="1"/>
  <c r="R20" i="23"/>
  <c r="R21" i="23"/>
  <c r="R28" i="23"/>
  <c r="S28" i="23" s="1"/>
  <c r="R194" i="23"/>
  <c r="R201" i="23"/>
  <c r="S201" i="23" s="1"/>
  <c r="U36" i="23"/>
  <c r="U39" i="23"/>
  <c r="T25" i="23"/>
  <c r="U21" i="23" s="1"/>
  <c r="R32" i="23"/>
  <c r="S32" i="23" s="1"/>
  <c r="R191" i="23"/>
  <c r="R202" i="23"/>
  <c r="S202" i="23" s="1"/>
  <c r="R214" i="23"/>
  <c r="T208" i="23"/>
  <c r="U210" i="23" s="1"/>
  <c r="R24" i="23"/>
  <c r="S24" i="23" s="1"/>
  <c r="R192" i="23"/>
  <c r="R197" i="23"/>
  <c r="R208" i="23"/>
  <c r="S208" i="23" s="1"/>
  <c r="U29" i="23"/>
  <c r="R36" i="23"/>
  <c r="R33" i="23"/>
  <c r="S33" i="23" s="1"/>
  <c r="U37" i="23"/>
  <c r="R193" i="23"/>
  <c r="R198" i="23"/>
  <c r="S198" i="23" s="1"/>
  <c r="T198" i="23"/>
  <c r="U194" i="23" s="1"/>
  <c r="R30" i="23"/>
  <c r="S30" i="23" s="1"/>
  <c r="U38" i="23"/>
  <c r="U212" i="23"/>
  <c r="R38" i="23"/>
  <c r="U31" i="23"/>
  <c r="U20" i="23"/>
  <c r="U27" i="23"/>
  <c r="R22" i="23"/>
  <c r="U28" i="23"/>
  <c r="U30" i="23"/>
  <c r="R37" i="23"/>
  <c r="R35" i="23"/>
  <c r="S35" i="23" s="1"/>
  <c r="R206" i="23"/>
  <c r="S206" i="23" s="1"/>
  <c r="R27" i="23"/>
  <c r="S27" i="23" s="1"/>
  <c r="S6" i="23" s="1"/>
  <c r="R29" i="23"/>
  <c r="S29" i="23" s="1"/>
  <c r="R31" i="23"/>
  <c r="S31" i="23" s="1"/>
  <c r="R18" i="23"/>
  <c r="U35" i="23"/>
  <c r="R210" i="23"/>
  <c r="S210" i="23" s="1"/>
  <c r="AO20" i="5"/>
  <c r="C20" i="5" s="1"/>
  <c r="C27" i="22"/>
  <c r="C29" i="22" s="1"/>
  <c r="B27" i="22"/>
  <c r="U196" i="23" l="1"/>
  <c r="U19" i="23"/>
  <c r="S10" i="23"/>
  <c r="U202" i="23"/>
  <c r="S9" i="23"/>
  <c r="U23" i="23"/>
  <c r="U198" i="23"/>
  <c r="U192" i="23"/>
  <c r="U22" i="23"/>
  <c r="U195" i="23"/>
  <c r="S7" i="23"/>
  <c r="U16" i="23"/>
  <c r="U191" i="23"/>
  <c r="U203" i="23"/>
  <c r="U204" i="23"/>
  <c r="U214" i="23"/>
  <c r="S190" i="23"/>
  <c r="U213" i="23"/>
  <c r="U206" i="23"/>
  <c r="U211" i="23"/>
  <c r="U205" i="23"/>
  <c r="U18" i="23"/>
  <c r="U197" i="23"/>
  <c r="U17" i="23"/>
  <c r="U201" i="23"/>
  <c r="U193" i="23"/>
  <c r="S5" i="23"/>
  <c r="R190" i="23"/>
  <c r="D5" i="22" l="1"/>
  <c r="E5" i="22" s="1"/>
  <c r="F5" i="22" s="1"/>
  <c r="G5" i="22" s="1"/>
  <c r="H5" i="22" s="1"/>
  <c r="I5" i="22" s="1"/>
  <c r="J5" i="22" s="1"/>
  <c r="K5" i="22" s="1"/>
  <c r="L5" i="22" s="1"/>
  <c r="M5" i="22" s="1"/>
  <c r="N5" i="22" s="1"/>
  <c r="O5" i="22" s="1"/>
  <c r="P5" i="22" s="1"/>
  <c r="Q5" i="22" s="1"/>
  <c r="R5" i="22" s="1"/>
  <c r="S5" i="22" s="1"/>
  <c r="T5" i="22" s="1"/>
  <c r="U5" i="22" s="1"/>
  <c r="V5" i="22" s="1"/>
  <c r="W5" i="22" s="1"/>
  <c r="X5" i="22" s="1"/>
  <c r="Y5" i="22" s="1"/>
  <c r="Z5" i="22" s="1"/>
  <c r="AA5" i="22" s="1"/>
  <c r="AB5" i="22" s="1"/>
  <c r="AC5" i="22" s="1"/>
  <c r="AD5" i="22" s="1"/>
  <c r="AE5" i="22" s="1"/>
  <c r="AF5" i="22" s="1"/>
  <c r="L51" i="21" l="1"/>
  <c r="I51" i="21"/>
  <c r="F51" i="21"/>
  <c r="C51" i="21"/>
  <c r="R54" i="21"/>
  <c r="R55" i="21" s="1"/>
  <c r="O54" i="21"/>
  <c r="O55" i="21" s="1"/>
  <c r="U33" i="18"/>
  <c r="J46" i="21" s="1"/>
  <c r="O50" i="21" s="1"/>
  <c r="O51" i="21" s="1"/>
  <c r="U25" i="18"/>
  <c r="J47" i="21" s="1"/>
  <c r="R50" i="21" s="1"/>
  <c r="R51" i="21" s="1"/>
  <c r="S39" i="18"/>
  <c r="S38" i="18"/>
  <c r="S37" i="18"/>
  <c r="S36" i="18"/>
  <c r="S35" i="18"/>
  <c r="S31" i="18"/>
  <c r="S30" i="18"/>
  <c r="S29" i="18"/>
  <c r="S28" i="18"/>
  <c r="S27" i="18"/>
  <c r="S23" i="18"/>
  <c r="S22" i="18"/>
  <c r="S21" i="18"/>
  <c r="S20" i="18"/>
  <c r="S19" i="18"/>
  <c r="S18" i="18"/>
  <c r="S17" i="18"/>
  <c r="S16" i="18"/>
  <c r="R33" i="18"/>
  <c r="R25" i="18"/>
  <c r="J45" i="21"/>
  <c r="L43" i="21" s="1"/>
  <c r="L44" i="21" s="1"/>
  <c r="R34" i="21"/>
  <c r="O34" i="21"/>
  <c r="F34" i="21"/>
  <c r="F55" i="21" s="1"/>
  <c r="C34" i="21"/>
  <c r="C55" i="21" s="1"/>
  <c r="R17" i="21"/>
  <c r="O17" i="21"/>
  <c r="L17" i="21"/>
  <c r="I17" i="21"/>
  <c r="F17" i="21"/>
  <c r="C17" i="21"/>
  <c r="R33" i="21"/>
  <c r="O33" i="21"/>
  <c r="F33" i="21"/>
  <c r="C33" i="21"/>
  <c r="U30" i="21"/>
  <c r="V30" i="21" s="1"/>
  <c r="U29" i="21"/>
  <c r="V29" i="21" s="1"/>
  <c r="U28" i="21"/>
  <c r="V28" i="21" s="1"/>
  <c r="U27" i="21"/>
  <c r="V27" i="21" s="1"/>
  <c r="M26" i="21"/>
  <c r="L26" i="21"/>
  <c r="J26" i="21"/>
  <c r="I26" i="21"/>
  <c r="I33" i="21" s="1"/>
  <c r="R16" i="21"/>
  <c r="O16" i="21"/>
  <c r="L16" i="21"/>
  <c r="I16" i="21"/>
  <c r="F16" i="21"/>
  <c r="C16" i="21"/>
  <c r="U15" i="21"/>
  <c r="V15" i="21" s="1"/>
  <c r="U14" i="21"/>
  <c r="V14" i="21" s="1"/>
  <c r="U13" i="21"/>
  <c r="V13" i="21" s="1"/>
  <c r="U12" i="21"/>
  <c r="V12" i="21" s="1"/>
  <c r="U11" i="21"/>
  <c r="V11" i="21" s="1"/>
  <c r="U10" i="21"/>
  <c r="V10" i="21" s="1"/>
  <c r="U9" i="21"/>
  <c r="U17" i="21" l="1"/>
  <c r="U16" i="21"/>
  <c r="L34" i="21"/>
  <c r="L55" i="21" s="1"/>
  <c r="I43" i="21"/>
  <c r="I44" i="21" s="1"/>
  <c r="F43" i="21"/>
  <c r="C43" i="21"/>
  <c r="O43" i="21" s="1"/>
  <c r="I34" i="21"/>
  <c r="I55" i="21" s="1"/>
  <c r="U26" i="21"/>
  <c r="U33" i="21" s="1"/>
  <c r="V9" i="21"/>
  <c r="V16" i="21" s="1"/>
  <c r="U34" i="21"/>
  <c r="L33" i="21"/>
  <c r="F44" i="21" l="1"/>
  <c r="R43" i="21"/>
  <c r="C44" i="21"/>
  <c r="O44" i="21"/>
  <c r="R44" i="21"/>
  <c r="V26" i="21"/>
  <c r="V33" i="21" s="1"/>
  <c r="U55" i="21"/>
  <c r="AD30" i="5" s="1"/>
  <c r="U51" i="21"/>
  <c r="U44" i="21" l="1"/>
  <c r="U58" i="21" s="1"/>
  <c r="U59" i="21" s="1"/>
  <c r="M26" i="5" s="1"/>
  <c r="AD26" i="5"/>
  <c r="L26" i="5" l="1"/>
  <c r="L36" i="5" s="1"/>
  <c r="N26" i="5"/>
  <c r="O26" i="5" s="1"/>
  <c r="P26" i="5" s="1"/>
  <c r="Q26" i="5" s="1"/>
  <c r="R26" i="5" s="1"/>
  <c r="S26" i="5" s="1"/>
  <c r="T26" i="5" s="1"/>
  <c r="U26" i="5" s="1"/>
  <c r="V26" i="5" s="1"/>
  <c r="W26" i="5" s="1"/>
  <c r="X26" i="5" s="1"/>
  <c r="Y26" i="5" s="1"/>
  <c r="Z26" i="5" s="1"/>
  <c r="AA26" i="5" s="1"/>
  <c r="AB26" i="5" s="1"/>
  <c r="AC26" i="5" s="1"/>
  <c r="U61" i="21"/>
  <c r="U62" i="21" s="1"/>
  <c r="M30" i="5" s="1"/>
  <c r="L30" i="5" s="1"/>
  <c r="L40" i="5" s="1"/>
  <c r="M39" i="14" l="1"/>
  <c r="M38" i="14"/>
  <c r="M28" i="14"/>
  <c r="M27" i="14"/>
  <c r="M17" i="14"/>
  <c r="M16" i="14"/>
  <c r="G41" i="14"/>
  <c r="G40" i="14"/>
  <c r="G39" i="14"/>
  <c r="G38" i="14"/>
  <c r="G37" i="14"/>
  <c r="G36" i="14"/>
  <c r="G35" i="14"/>
  <c r="G34" i="14"/>
  <c r="G33" i="14"/>
  <c r="G52" i="14"/>
  <c r="G51" i="14"/>
  <c r="G50" i="14"/>
  <c r="G49" i="14"/>
  <c r="G48" i="14"/>
  <c r="G47" i="14"/>
  <c r="G46" i="14"/>
  <c r="G45" i="14"/>
  <c r="G44" i="14"/>
  <c r="G30" i="14"/>
  <c r="G29" i="14"/>
  <c r="G28" i="14"/>
  <c r="G27" i="14"/>
  <c r="G26" i="14"/>
  <c r="G25" i="14"/>
  <c r="G24" i="14"/>
  <c r="G23" i="14"/>
  <c r="G22" i="14"/>
  <c r="G19" i="14"/>
  <c r="G18" i="14"/>
  <c r="G17" i="14"/>
  <c r="G16" i="14"/>
  <c r="G15" i="14"/>
  <c r="G14" i="14"/>
  <c r="G13" i="14"/>
  <c r="G12" i="14"/>
  <c r="G11" i="14"/>
  <c r="N218" i="18" l="1"/>
  <c r="N217" i="18"/>
  <c r="N216" i="18"/>
  <c r="N215" i="18"/>
  <c r="N214" i="18"/>
  <c r="N213" i="18"/>
  <c r="N212" i="18"/>
  <c r="P212" i="18" s="1"/>
  <c r="Q212" i="18" s="1"/>
  <c r="N211" i="18"/>
  <c r="N210" i="18"/>
  <c r="N209" i="18"/>
  <c r="N208" i="18"/>
  <c r="N207" i="18"/>
  <c r="N206" i="18"/>
  <c r="N205" i="18"/>
  <c r="N204" i="18"/>
  <c r="N203" i="18"/>
  <c r="N202" i="18"/>
  <c r="P202" i="18" s="1"/>
  <c r="Q202" i="18" s="1"/>
  <c r="N201" i="18"/>
  <c r="N200" i="18"/>
  <c r="P200" i="18" s="1"/>
  <c r="N199" i="18"/>
  <c r="P199" i="18" s="1"/>
  <c r="N198" i="18"/>
  <c r="N197" i="18"/>
  <c r="P197" i="18" s="1"/>
  <c r="N196" i="18"/>
  <c r="P196" i="18" s="1"/>
  <c r="N195" i="18"/>
  <c r="P195" i="18" s="1"/>
  <c r="N39" i="18"/>
  <c r="N38" i="18"/>
  <c r="N37" i="18"/>
  <c r="N36" i="18"/>
  <c r="N35" i="18"/>
  <c r="N34" i="18"/>
  <c r="N33" i="18"/>
  <c r="N32" i="18"/>
  <c r="N31" i="18"/>
  <c r="N30" i="18"/>
  <c r="N29" i="18"/>
  <c r="N28" i="18"/>
  <c r="N27" i="18"/>
  <c r="N26" i="18"/>
  <c r="N25" i="18"/>
  <c r="N24" i="18"/>
  <c r="P24" i="18" s="1"/>
  <c r="Q24" i="18" s="1"/>
  <c r="N23" i="18"/>
  <c r="P23" i="18" s="1"/>
  <c r="Q23" i="18" s="1"/>
  <c r="N22" i="18"/>
  <c r="P22" i="18" s="1"/>
  <c r="N21" i="18"/>
  <c r="N20" i="18"/>
  <c r="N19" i="18"/>
  <c r="N18" i="18"/>
  <c r="P18" i="18" s="1"/>
  <c r="N17" i="18"/>
  <c r="N16" i="18"/>
  <c r="P214" i="18" l="1"/>
  <c r="Q214" i="18" s="1"/>
  <c r="P28" i="18"/>
  <c r="P207" i="18"/>
  <c r="Q207" i="18" s="1"/>
  <c r="P215" i="18"/>
  <c r="P29" i="18"/>
  <c r="Q29" i="18" s="1"/>
  <c r="P208" i="18"/>
  <c r="Q208" i="18" s="1"/>
  <c r="P30" i="18"/>
  <c r="Q30" i="18" s="1"/>
  <c r="P209" i="18"/>
  <c r="Q209" i="18" s="1"/>
  <c r="P210" i="18"/>
  <c r="Q210" i="18" s="1"/>
  <c r="P32" i="18"/>
  <c r="Q32" i="18" s="1"/>
  <c r="P206" i="18"/>
  <c r="Q206" i="18" s="1"/>
  <c r="P211" i="18"/>
  <c r="Q211" i="18" s="1"/>
  <c r="P36" i="18"/>
  <c r="P198" i="18"/>
  <c r="P31" i="18"/>
  <c r="Q31" i="18" s="1"/>
  <c r="P39" i="18"/>
  <c r="P25" i="18"/>
  <c r="Q25" i="18" s="1"/>
  <c r="P19" i="18"/>
  <c r="P34" i="18"/>
  <c r="Q34" i="18" s="1"/>
  <c r="P20" i="18"/>
  <c r="P35" i="18"/>
  <c r="Q35" i="18" s="1"/>
  <c r="P205" i="18"/>
  <c r="Q205" i="18" s="1"/>
  <c r="P21" i="18"/>
  <c r="P216" i="18"/>
  <c r="P16" i="18"/>
  <c r="P26" i="18"/>
  <c r="Q26" i="18" s="1"/>
  <c r="P38" i="18"/>
  <c r="P217" i="18"/>
  <c r="P17" i="18"/>
  <c r="P27" i="18"/>
  <c r="Q27" i="18" s="1"/>
  <c r="P33" i="18"/>
  <c r="Q33" i="18" s="1"/>
  <c r="P218" i="18"/>
  <c r="P213" i="18"/>
  <c r="Q213" i="18" s="1"/>
  <c r="Q28" i="18"/>
  <c r="P201" i="18"/>
  <c r="P204" i="18"/>
  <c r="Q204" i="18" s="1"/>
  <c r="P37" i="18"/>
  <c r="P203" i="18"/>
  <c r="Q203" i="18" s="1"/>
  <c r="Q7" i="18" l="1"/>
  <c r="Q193" i="18"/>
  <c r="Q6" i="18"/>
  <c r="P193" i="18"/>
  <c r="Q5" i="18"/>
  <c r="K50" i="14" l="1"/>
  <c r="K49" i="14"/>
  <c r="K30" i="14"/>
  <c r="K52" i="14" s="1"/>
  <c r="K26" i="14"/>
  <c r="K48" i="14" s="1"/>
  <c r="K25" i="14"/>
  <c r="K47" i="14" s="1"/>
  <c r="K24" i="14"/>
  <c r="K46" i="14" s="1"/>
  <c r="K23" i="14"/>
  <c r="K45" i="14" s="1"/>
  <c r="K22" i="14"/>
  <c r="K44" i="14" s="1"/>
  <c r="K29" i="14"/>
  <c r="K51" i="14" s="1"/>
  <c r="J30" i="14"/>
  <c r="M30" i="14" s="1"/>
  <c r="J29" i="14"/>
  <c r="M29" i="14" s="1"/>
  <c r="J26" i="14"/>
  <c r="M26" i="14" s="1"/>
  <c r="J25" i="14"/>
  <c r="M25" i="14" s="1"/>
  <c r="J24" i="14"/>
  <c r="M24" i="14" s="1"/>
  <c r="J23" i="14"/>
  <c r="M23" i="14" s="1"/>
  <c r="J22" i="14"/>
  <c r="M22" i="14" s="1"/>
  <c r="K41" i="14"/>
  <c r="K40" i="14"/>
  <c r="K37" i="14"/>
  <c r="K36" i="14"/>
  <c r="K35" i="14"/>
  <c r="K34" i="14"/>
  <c r="K33" i="14"/>
  <c r="J41" i="14"/>
  <c r="M41" i="14" s="1"/>
  <c r="J40" i="14"/>
  <c r="M40" i="14" s="1"/>
  <c r="J37" i="14"/>
  <c r="M37" i="14" s="1"/>
  <c r="J36" i="14"/>
  <c r="M36" i="14" s="1"/>
  <c r="J35" i="14"/>
  <c r="M35" i="14" s="1"/>
  <c r="J34" i="14"/>
  <c r="M34" i="14" s="1"/>
  <c r="J33" i="14"/>
  <c r="M33" i="14" s="1"/>
  <c r="K19" i="14"/>
  <c r="K18" i="14"/>
  <c r="K15" i="14"/>
  <c r="K14" i="14"/>
  <c r="K13" i="14"/>
  <c r="K12" i="14"/>
  <c r="K11" i="14"/>
  <c r="J19" i="14"/>
  <c r="M19" i="14" s="1"/>
  <c r="J18" i="14"/>
  <c r="M18" i="14" s="1"/>
  <c r="J15" i="14"/>
  <c r="M15" i="14" s="1"/>
  <c r="J14" i="14"/>
  <c r="M14" i="14" s="1"/>
  <c r="J13" i="14"/>
  <c r="M13" i="14" s="1"/>
  <c r="J12" i="14"/>
  <c r="M12" i="14" s="1"/>
  <c r="J11" i="14"/>
  <c r="M11" i="14" s="1"/>
  <c r="M42" i="14" l="1"/>
  <c r="M20" i="14"/>
  <c r="M31" i="14"/>
  <c r="M15" i="17" l="1"/>
  <c r="M22" i="17" s="1"/>
  <c r="L15" i="17"/>
  <c r="L22" i="17" s="1"/>
  <c r="K15" i="17"/>
  <c r="J15" i="17"/>
  <c r="M14" i="17"/>
  <c r="M21" i="17" s="1"/>
  <c r="L14" i="17"/>
  <c r="L21" i="17" s="1"/>
  <c r="K14" i="17"/>
  <c r="J14" i="17"/>
  <c r="J21" i="17" s="1"/>
  <c r="T22" i="17"/>
  <c r="S22" i="17"/>
  <c r="T21" i="17"/>
  <c r="S21" i="17"/>
  <c r="Q21" i="17"/>
  <c r="U9" i="17"/>
  <c r="U8" i="17"/>
  <c r="N9" i="17"/>
  <c r="N8" i="17"/>
  <c r="AB9" i="17"/>
  <c r="F9" i="17"/>
  <c r="F22" i="17" s="1"/>
  <c r="E9" i="17"/>
  <c r="E22" i="17" s="1"/>
  <c r="D9" i="17"/>
  <c r="C9" i="17"/>
  <c r="AB8" i="17"/>
  <c r="F8" i="17"/>
  <c r="F21" i="17" s="1"/>
  <c r="E8" i="17"/>
  <c r="E21" i="17" s="1"/>
  <c r="C8" i="17"/>
  <c r="C21" i="17" s="1"/>
  <c r="U21" i="17" l="1"/>
  <c r="G22" i="17"/>
  <c r="U22" i="17"/>
  <c r="N22" i="17"/>
  <c r="N21" i="17"/>
  <c r="G8" i="17"/>
  <c r="G21" i="17"/>
  <c r="G9" i="17"/>
  <c r="J50" i="14"/>
  <c r="M50" i="14" s="1"/>
  <c r="J49" i="14"/>
  <c r="M49" i="14" s="1"/>
  <c r="G23" i="17" l="1"/>
  <c r="E27" i="5" s="1"/>
  <c r="E31" i="5" s="1"/>
  <c r="U23" i="17"/>
  <c r="AD31" i="5" s="1"/>
  <c r="N23" i="17"/>
  <c r="AD27" i="5" s="1"/>
  <c r="J51" i="14"/>
  <c r="M51" i="14" s="1"/>
  <c r="AE27" i="5" l="1"/>
  <c r="F27" i="5"/>
  <c r="F31" i="5" s="1"/>
  <c r="AE31" i="5"/>
  <c r="G27" i="5" l="1"/>
  <c r="H27" i="5" s="1"/>
  <c r="AF31" i="5"/>
  <c r="AF27" i="5"/>
  <c r="G31" i="5" l="1"/>
  <c r="H31" i="5"/>
  <c r="I27" i="5"/>
  <c r="AG27" i="5"/>
  <c r="AG31" i="5"/>
  <c r="J48" i="14"/>
  <c r="M48" i="14" s="1"/>
  <c r="J47" i="14"/>
  <c r="M47" i="14" s="1"/>
  <c r="J45" i="14"/>
  <c r="M45" i="14" s="1"/>
  <c r="J27" i="5" l="1"/>
  <c r="I31" i="5"/>
  <c r="AH31" i="5"/>
  <c r="AH27" i="5"/>
  <c r="J52" i="14"/>
  <c r="M52" i="14" s="1"/>
  <c r="J46" i="14"/>
  <c r="M46" i="14" s="1"/>
  <c r="J44" i="14"/>
  <c r="M44" i="14" s="1"/>
  <c r="J31" i="5" l="1"/>
  <c r="K27" i="5"/>
  <c r="AI27" i="5"/>
  <c r="AI31" i="5"/>
  <c r="M53" i="14"/>
  <c r="AD10" i="15"/>
  <c r="L27" i="5" l="1"/>
  <c r="K31" i="5"/>
  <c r="AJ27" i="5"/>
  <c r="AJ31" i="5"/>
  <c r="L31" i="5" l="1"/>
  <c r="M27" i="5"/>
  <c r="AK27" i="5"/>
  <c r="AK31" i="5"/>
  <c r="N27" i="5" l="1"/>
  <c r="M31" i="5"/>
  <c r="AL31" i="5"/>
  <c r="AL27" i="5"/>
  <c r="G20" i="15"/>
  <c r="I10" i="15" s="1"/>
  <c r="AD18" i="15"/>
  <c r="AE18" i="15" s="1"/>
  <c r="N31" i="5" l="1"/>
  <c r="O27" i="5"/>
  <c r="AM27" i="5"/>
  <c r="AM31" i="5"/>
  <c r="AE30" i="5"/>
  <c r="I18" i="15"/>
  <c r="AE26" i="5"/>
  <c r="AF26" i="5" s="1"/>
  <c r="AG26" i="5" s="1"/>
  <c r="AH26" i="5" s="1"/>
  <c r="AI26" i="5" s="1"/>
  <c r="AJ26" i="5" s="1"/>
  <c r="AK26" i="5" s="1"/>
  <c r="AL26" i="5" s="1"/>
  <c r="AM26" i="5" s="1"/>
  <c r="AN26" i="5" s="1"/>
  <c r="AO26" i="5" s="1"/>
  <c r="AE10" i="15"/>
  <c r="G53" i="14" l="1"/>
  <c r="AD28" i="5" s="1"/>
  <c r="T11" i="22" s="1"/>
  <c r="G20" i="14"/>
  <c r="O31" i="5"/>
  <c r="P27" i="5"/>
  <c r="AN31" i="5"/>
  <c r="AN27" i="5"/>
  <c r="G42" i="14"/>
  <c r="G31" i="14"/>
  <c r="AE36" i="5"/>
  <c r="AF36" i="5"/>
  <c r="AN36" i="5"/>
  <c r="AL36" i="5"/>
  <c r="AK36" i="5"/>
  <c r="AD36" i="5"/>
  <c r="AJ36" i="5"/>
  <c r="AI36" i="5"/>
  <c r="AH36" i="5"/>
  <c r="AO36" i="5"/>
  <c r="AG36" i="5"/>
  <c r="AM36" i="5"/>
  <c r="AD40" i="5"/>
  <c r="AF30" i="5"/>
  <c r="AE40" i="5"/>
  <c r="Q27" i="5" l="1"/>
  <c r="P31" i="5"/>
  <c r="AO31" i="5"/>
  <c r="AO27" i="5"/>
  <c r="AG30" i="5"/>
  <c r="AF40" i="5"/>
  <c r="R27" i="5" l="1"/>
  <c r="Q31" i="5"/>
  <c r="AH30" i="5"/>
  <c r="AG40" i="5"/>
  <c r="R31" i="5" l="1"/>
  <c r="S27" i="5"/>
  <c r="AI30" i="5"/>
  <c r="AH40" i="5"/>
  <c r="S31" i="5" l="1"/>
  <c r="T27" i="5"/>
  <c r="AJ30" i="5"/>
  <c r="AI40" i="5"/>
  <c r="U27" i="5" l="1"/>
  <c r="T31" i="5"/>
  <c r="AK30" i="5"/>
  <c r="AJ40" i="5"/>
  <c r="V27" i="5" l="1"/>
  <c r="U31" i="5"/>
  <c r="AL30" i="5"/>
  <c r="AK40" i="5"/>
  <c r="M32" i="11"/>
  <c r="L32" i="11"/>
  <c r="K32" i="11"/>
  <c r="J32" i="11"/>
  <c r="I32" i="11"/>
  <c r="H32" i="11"/>
  <c r="M25" i="11"/>
  <c r="L25" i="11"/>
  <c r="K25" i="11"/>
  <c r="J25" i="11"/>
  <c r="I25" i="11"/>
  <c r="H25" i="11"/>
  <c r="C33" i="11"/>
  <c r="D33" i="11" s="1"/>
  <c r="F33" i="11" s="1"/>
  <c r="G33" i="11" s="1"/>
  <c r="L33" i="11" s="1"/>
  <c r="C26" i="11"/>
  <c r="D26" i="11" s="1"/>
  <c r="F26" i="11" s="1"/>
  <c r="M33" i="11" l="1"/>
  <c r="H33" i="11"/>
  <c r="I43" i="11"/>
  <c r="H43" i="11"/>
  <c r="W27" i="5"/>
  <c r="V31" i="5"/>
  <c r="AM30" i="5"/>
  <c r="AL40" i="5"/>
  <c r="G26" i="11"/>
  <c r="M26" i="11" s="1"/>
  <c r="M39" i="11" s="1"/>
  <c r="AD51" i="5" s="1"/>
  <c r="H26" i="11"/>
  <c r="J26" i="11" s="1"/>
  <c r="C39" i="11"/>
  <c r="D39" i="11" s="1"/>
  <c r="C27" i="11"/>
  <c r="D27" i="11" s="1"/>
  <c r="F27" i="11" s="1"/>
  <c r="C34" i="11"/>
  <c r="D19" i="8"/>
  <c r="E19" i="8" s="1"/>
  <c r="F19" i="8" s="1"/>
  <c r="G19" i="8" s="1"/>
  <c r="H19" i="8" s="1"/>
  <c r="I19" i="8" s="1"/>
  <c r="J19" i="8" s="1"/>
  <c r="K19" i="8" s="1"/>
  <c r="L19" i="8" s="1"/>
  <c r="M19" i="8" s="1"/>
  <c r="N19" i="8" s="1"/>
  <c r="O19" i="8" s="1"/>
  <c r="P19" i="8" s="1"/>
  <c r="Q19" i="8" s="1"/>
  <c r="R19" i="8" s="1"/>
  <c r="S19" i="8" s="1"/>
  <c r="D18" i="8"/>
  <c r="E18" i="8" s="1"/>
  <c r="F18" i="8" s="1"/>
  <c r="G18" i="8" s="1"/>
  <c r="H18" i="8" s="1"/>
  <c r="I18" i="8" s="1"/>
  <c r="J18" i="8" s="1"/>
  <c r="K18" i="8" s="1"/>
  <c r="L18" i="8" s="1"/>
  <c r="M18" i="8" s="1"/>
  <c r="N18" i="8" s="1"/>
  <c r="O18" i="8" s="1"/>
  <c r="P18" i="8" s="1"/>
  <c r="Q18" i="8" s="1"/>
  <c r="R18" i="8" s="1"/>
  <c r="S18" i="8" s="1"/>
  <c r="D17" i="8"/>
  <c r="E17" i="8" s="1"/>
  <c r="F17" i="8" s="1"/>
  <c r="G17" i="8" s="1"/>
  <c r="H17" i="8" s="1"/>
  <c r="I17" i="8" s="1"/>
  <c r="J17" i="8" s="1"/>
  <c r="K17" i="8" s="1"/>
  <c r="L17" i="8" s="1"/>
  <c r="M17" i="8" s="1"/>
  <c r="N17" i="8" s="1"/>
  <c r="O17" i="8" s="1"/>
  <c r="P17" i="8" s="1"/>
  <c r="Q17" i="8" s="1"/>
  <c r="R17" i="8" s="1"/>
  <c r="S17" i="8" s="1"/>
  <c r="D16" i="8"/>
  <c r="E16" i="8" s="1"/>
  <c r="F16" i="8" s="1"/>
  <c r="G16" i="8" s="1"/>
  <c r="H16" i="8" s="1"/>
  <c r="I16" i="8" s="1"/>
  <c r="J16" i="8" s="1"/>
  <c r="K16" i="8" s="1"/>
  <c r="L16" i="8" s="1"/>
  <c r="M16" i="8" s="1"/>
  <c r="N16" i="8" s="1"/>
  <c r="O16" i="8" s="1"/>
  <c r="P16" i="8" s="1"/>
  <c r="Q16" i="8" s="1"/>
  <c r="R16" i="8" s="1"/>
  <c r="S16" i="8" s="1"/>
  <c r="D15" i="8"/>
  <c r="E15" i="8" s="1"/>
  <c r="F15" i="8" s="1"/>
  <c r="G15" i="8" s="1"/>
  <c r="H15" i="8" s="1"/>
  <c r="I15" i="8" s="1"/>
  <c r="J15" i="8" s="1"/>
  <c r="K15" i="8" s="1"/>
  <c r="L15" i="8" s="1"/>
  <c r="M15" i="8" s="1"/>
  <c r="N15" i="8" s="1"/>
  <c r="O15" i="8" s="1"/>
  <c r="P15" i="8" s="1"/>
  <c r="Q15" i="8" s="1"/>
  <c r="R15" i="8" s="1"/>
  <c r="S15" i="8" s="1"/>
  <c r="D13" i="8"/>
  <c r="E13" i="8" s="1"/>
  <c r="F13" i="8" s="1"/>
  <c r="G13" i="8" s="1"/>
  <c r="H13" i="8" s="1"/>
  <c r="I13" i="8" s="1"/>
  <c r="J13" i="8" s="1"/>
  <c r="K13" i="8" s="1"/>
  <c r="L13" i="8" s="1"/>
  <c r="M13" i="8" s="1"/>
  <c r="N13" i="8" s="1"/>
  <c r="O13" i="8" s="1"/>
  <c r="P13" i="8" s="1"/>
  <c r="Q13" i="8" s="1"/>
  <c r="R13" i="8" s="1"/>
  <c r="S13" i="8" s="1"/>
  <c r="D12" i="8"/>
  <c r="E12" i="8" s="1"/>
  <c r="F12" i="8" s="1"/>
  <c r="G12" i="8" s="1"/>
  <c r="H12" i="8" s="1"/>
  <c r="I12" i="8" s="1"/>
  <c r="J12" i="8" s="1"/>
  <c r="K12" i="8" s="1"/>
  <c r="L12" i="8" s="1"/>
  <c r="M12" i="8" s="1"/>
  <c r="N12" i="8" s="1"/>
  <c r="O12" i="8" s="1"/>
  <c r="P12" i="8" s="1"/>
  <c r="Q12" i="8" s="1"/>
  <c r="R12" i="8" s="1"/>
  <c r="S12" i="8" s="1"/>
  <c r="D11" i="8"/>
  <c r="E11" i="8" s="1"/>
  <c r="F11" i="8" s="1"/>
  <c r="G11" i="8" s="1"/>
  <c r="H11" i="8" s="1"/>
  <c r="I11" i="8" s="1"/>
  <c r="J11" i="8" s="1"/>
  <c r="K11" i="8" s="1"/>
  <c r="L11" i="8" s="1"/>
  <c r="M11" i="8" s="1"/>
  <c r="N11" i="8" s="1"/>
  <c r="O11" i="8" s="1"/>
  <c r="P11" i="8" s="1"/>
  <c r="Q11" i="8" s="1"/>
  <c r="R11" i="8" s="1"/>
  <c r="S11" i="8" s="1"/>
  <c r="D10" i="8"/>
  <c r="E10" i="8" s="1"/>
  <c r="F10" i="8" s="1"/>
  <c r="G10" i="8" s="1"/>
  <c r="H10" i="8" s="1"/>
  <c r="I10" i="8" s="1"/>
  <c r="J10" i="8" s="1"/>
  <c r="K10" i="8" s="1"/>
  <c r="L10" i="8" s="1"/>
  <c r="M10" i="8" s="1"/>
  <c r="N10" i="8" s="1"/>
  <c r="O10" i="8" s="1"/>
  <c r="P10" i="8" s="1"/>
  <c r="Q10" i="8" s="1"/>
  <c r="R10" i="8" s="1"/>
  <c r="S10" i="8" s="1"/>
  <c r="D9" i="8"/>
  <c r="E9" i="8" s="1"/>
  <c r="F9" i="8" s="1"/>
  <c r="G9" i="8" s="1"/>
  <c r="H9" i="8" s="1"/>
  <c r="I9" i="8" s="1"/>
  <c r="J9" i="8" s="1"/>
  <c r="K9" i="8" s="1"/>
  <c r="L9" i="8" s="1"/>
  <c r="M9" i="8" s="1"/>
  <c r="N9" i="8" s="1"/>
  <c r="O9" i="8" s="1"/>
  <c r="P9" i="8" s="1"/>
  <c r="Q9" i="8" s="1"/>
  <c r="R9" i="8" s="1"/>
  <c r="S9" i="8" s="1"/>
  <c r="D32" i="8"/>
  <c r="E32" i="8" s="1"/>
  <c r="F32" i="8" s="1"/>
  <c r="G32" i="8" s="1"/>
  <c r="H32" i="8" s="1"/>
  <c r="I32" i="8" s="1"/>
  <c r="J32" i="8" s="1"/>
  <c r="K32" i="8" s="1"/>
  <c r="L32" i="8" s="1"/>
  <c r="M32" i="8" s="1"/>
  <c r="N32" i="8" s="1"/>
  <c r="O32" i="8" s="1"/>
  <c r="P32" i="8" s="1"/>
  <c r="Q32" i="8" s="1"/>
  <c r="R32" i="8" s="1"/>
  <c r="S32" i="8" s="1"/>
  <c r="D31" i="8"/>
  <c r="E31" i="8" s="1"/>
  <c r="F31" i="8" s="1"/>
  <c r="G31" i="8" s="1"/>
  <c r="H31" i="8" s="1"/>
  <c r="I31" i="8" s="1"/>
  <c r="J31" i="8" s="1"/>
  <c r="K31" i="8" s="1"/>
  <c r="L31" i="8" s="1"/>
  <c r="M31" i="8" s="1"/>
  <c r="N31" i="8" s="1"/>
  <c r="O31" i="8" s="1"/>
  <c r="P31" i="8" s="1"/>
  <c r="Q31" i="8" s="1"/>
  <c r="R31" i="8" s="1"/>
  <c r="S31" i="8" s="1"/>
  <c r="D30" i="8"/>
  <c r="E30" i="8" s="1"/>
  <c r="F30" i="8" s="1"/>
  <c r="G30" i="8" s="1"/>
  <c r="H30" i="8" s="1"/>
  <c r="I30" i="8" s="1"/>
  <c r="J30" i="8" s="1"/>
  <c r="K30" i="8" s="1"/>
  <c r="L30" i="8" s="1"/>
  <c r="M30" i="8" s="1"/>
  <c r="N30" i="8" s="1"/>
  <c r="O30" i="8" s="1"/>
  <c r="P30" i="8" s="1"/>
  <c r="Q30" i="8" s="1"/>
  <c r="R30" i="8" s="1"/>
  <c r="S30" i="8" s="1"/>
  <c r="D29" i="8"/>
  <c r="E29" i="8" s="1"/>
  <c r="F29" i="8" s="1"/>
  <c r="G29" i="8" s="1"/>
  <c r="H29" i="8" s="1"/>
  <c r="I29" i="8" s="1"/>
  <c r="J29" i="8" s="1"/>
  <c r="K29" i="8" s="1"/>
  <c r="L29" i="8" s="1"/>
  <c r="M29" i="8" s="1"/>
  <c r="N29" i="8" s="1"/>
  <c r="O29" i="8" s="1"/>
  <c r="P29" i="8" s="1"/>
  <c r="Q29" i="8" s="1"/>
  <c r="R29" i="8" s="1"/>
  <c r="S29" i="8" s="1"/>
  <c r="D28" i="8"/>
  <c r="E28" i="8" s="1"/>
  <c r="F28" i="8" s="1"/>
  <c r="G28" i="8" s="1"/>
  <c r="H28" i="8" s="1"/>
  <c r="I28" i="8" s="1"/>
  <c r="J28" i="8" s="1"/>
  <c r="K28" i="8" s="1"/>
  <c r="L28" i="8" s="1"/>
  <c r="M28" i="8" s="1"/>
  <c r="N28" i="8" s="1"/>
  <c r="O28" i="8" s="1"/>
  <c r="P28" i="8" s="1"/>
  <c r="Q28" i="8" s="1"/>
  <c r="R28" i="8" s="1"/>
  <c r="S28" i="8" s="1"/>
  <c r="D26" i="8"/>
  <c r="E26" i="8" s="1"/>
  <c r="F26" i="8" s="1"/>
  <c r="G26" i="8" s="1"/>
  <c r="H26" i="8" s="1"/>
  <c r="I26" i="8" s="1"/>
  <c r="J26" i="8" s="1"/>
  <c r="K26" i="8" s="1"/>
  <c r="L26" i="8" s="1"/>
  <c r="M26" i="8" s="1"/>
  <c r="N26" i="8" s="1"/>
  <c r="O26" i="8" s="1"/>
  <c r="P26" i="8" s="1"/>
  <c r="Q26" i="8" s="1"/>
  <c r="R26" i="8" s="1"/>
  <c r="S26" i="8" s="1"/>
  <c r="D25" i="8"/>
  <c r="E25" i="8" s="1"/>
  <c r="F25" i="8" s="1"/>
  <c r="G25" i="8" s="1"/>
  <c r="H25" i="8" s="1"/>
  <c r="I25" i="8" s="1"/>
  <c r="J25" i="8" s="1"/>
  <c r="K25" i="8" s="1"/>
  <c r="L25" i="8" s="1"/>
  <c r="M25" i="8" s="1"/>
  <c r="N25" i="8" s="1"/>
  <c r="O25" i="8" s="1"/>
  <c r="P25" i="8" s="1"/>
  <c r="Q25" i="8" s="1"/>
  <c r="R25" i="8" s="1"/>
  <c r="S25" i="8" s="1"/>
  <c r="D24" i="8"/>
  <c r="E24" i="8" s="1"/>
  <c r="F24" i="8" s="1"/>
  <c r="G24" i="8" s="1"/>
  <c r="H24" i="8" s="1"/>
  <c r="I24" i="8" s="1"/>
  <c r="J24" i="8" s="1"/>
  <c r="K24" i="8" s="1"/>
  <c r="L24" i="8" s="1"/>
  <c r="M24" i="8" s="1"/>
  <c r="N24" i="8" s="1"/>
  <c r="O24" i="8" s="1"/>
  <c r="P24" i="8" s="1"/>
  <c r="Q24" i="8" s="1"/>
  <c r="R24" i="8" s="1"/>
  <c r="S24" i="8" s="1"/>
  <c r="D23" i="8"/>
  <c r="E23" i="8" s="1"/>
  <c r="F23" i="8" s="1"/>
  <c r="G23" i="8" s="1"/>
  <c r="H23" i="8" s="1"/>
  <c r="I23" i="8" s="1"/>
  <c r="J23" i="8" s="1"/>
  <c r="K23" i="8" s="1"/>
  <c r="L23" i="8" s="1"/>
  <c r="M23" i="8" s="1"/>
  <c r="N23" i="8" s="1"/>
  <c r="O23" i="8" s="1"/>
  <c r="P23" i="8" s="1"/>
  <c r="Q23" i="8" s="1"/>
  <c r="R23" i="8" s="1"/>
  <c r="S23" i="8" s="1"/>
  <c r="D22" i="8"/>
  <c r="E22" i="8" s="1"/>
  <c r="F22" i="8" s="1"/>
  <c r="G22" i="8" s="1"/>
  <c r="H22" i="8" s="1"/>
  <c r="I22" i="8" s="1"/>
  <c r="J22" i="8" s="1"/>
  <c r="K22" i="8" s="1"/>
  <c r="L22" i="8" s="1"/>
  <c r="M22" i="8" s="1"/>
  <c r="N22" i="8" s="1"/>
  <c r="O22" i="8" s="1"/>
  <c r="P22" i="8" s="1"/>
  <c r="Q22" i="8" s="1"/>
  <c r="R22" i="8" s="1"/>
  <c r="S22" i="8" s="1"/>
  <c r="L26" i="11" l="1"/>
  <c r="L39" i="11" s="1"/>
  <c r="M51" i="5" s="1"/>
  <c r="N51" i="5" s="1"/>
  <c r="O51" i="5" s="1"/>
  <c r="P51" i="5" s="1"/>
  <c r="Q51" i="5" s="1"/>
  <c r="R51" i="5" s="1"/>
  <c r="S51" i="5" s="1"/>
  <c r="T51" i="5" s="1"/>
  <c r="U51" i="5" s="1"/>
  <c r="V51" i="5" s="1"/>
  <c r="W51" i="5" s="1"/>
  <c r="X51" i="5" s="1"/>
  <c r="Y51" i="5" s="1"/>
  <c r="Z51" i="5" s="1"/>
  <c r="AA51" i="5" s="1"/>
  <c r="AB51" i="5" s="1"/>
  <c r="AC51" i="5" s="1"/>
  <c r="AO51" i="5"/>
  <c r="AK51" i="5"/>
  <c r="AN51" i="5"/>
  <c r="AE51" i="5"/>
  <c r="AG51" i="5"/>
  <c r="AI51" i="5"/>
  <c r="AM51" i="5"/>
  <c r="AJ51" i="5"/>
  <c r="AL51" i="5"/>
  <c r="AH51" i="5"/>
  <c r="AF51" i="5"/>
  <c r="H39" i="11"/>
  <c r="I33" i="11"/>
  <c r="I26" i="11"/>
  <c r="J33" i="11"/>
  <c r="J39" i="11" s="1"/>
  <c r="AD47" i="5" s="1"/>
  <c r="X27" i="5"/>
  <c r="W31" i="5"/>
  <c r="AN30" i="5"/>
  <c r="AM40" i="5"/>
  <c r="F39" i="11"/>
  <c r="G39" i="11" s="1"/>
  <c r="D34" i="11"/>
  <c r="F34" i="11" s="1"/>
  <c r="C40" i="11"/>
  <c r="D40" i="11" s="1"/>
  <c r="G27" i="11"/>
  <c r="H27" i="11"/>
  <c r="J27" i="11" s="1"/>
  <c r="C28" i="11"/>
  <c r="D28" i="11" s="1"/>
  <c r="F28" i="11" s="1"/>
  <c r="C35" i="11"/>
  <c r="K43" i="5"/>
  <c r="K103" i="5" s="1"/>
  <c r="H136" i="5" s="1"/>
  <c r="J43" i="5"/>
  <c r="J103" i="5" s="1"/>
  <c r="H135" i="5" s="1"/>
  <c r="I43" i="5"/>
  <c r="I103" i="5" s="1"/>
  <c r="H134" i="5" s="1"/>
  <c r="H43" i="5"/>
  <c r="H103" i="5" s="1"/>
  <c r="H133" i="5" s="1"/>
  <c r="G43" i="5"/>
  <c r="G103" i="5" s="1"/>
  <c r="F43" i="5"/>
  <c r="F103" i="5" s="1"/>
  <c r="E43" i="5"/>
  <c r="E103" i="5" s="1"/>
  <c r="C30" i="4"/>
  <c r="C55" i="4"/>
  <c r="C54" i="4"/>
  <c r="C53" i="4"/>
  <c r="C52" i="4"/>
  <c r="C41" i="4"/>
  <c r="C40" i="4"/>
  <c r="C39" i="4"/>
  <c r="C38" i="4"/>
  <c r="C37" i="4"/>
  <c r="C36" i="4"/>
  <c r="C33" i="4"/>
  <c r="C32" i="4"/>
  <c r="C31" i="4"/>
  <c r="C29" i="4"/>
  <c r="E13" i="13"/>
  <c r="I13" i="13"/>
  <c r="D5" i="8"/>
  <c r="E5" i="8" s="1"/>
  <c r="F5" i="8" s="1"/>
  <c r="G5" i="8" s="1"/>
  <c r="H5" i="8" s="1"/>
  <c r="I5" i="8" s="1"/>
  <c r="J5" i="8" s="1"/>
  <c r="K5" i="8" s="1"/>
  <c r="L5" i="8" s="1"/>
  <c r="M5" i="8" s="1"/>
  <c r="N5" i="8" s="1"/>
  <c r="O5" i="8" s="1"/>
  <c r="P5" i="8" s="1"/>
  <c r="Q5" i="8" s="1"/>
  <c r="R5" i="8" s="1"/>
  <c r="S5" i="8" s="1"/>
  <c r="T5" i="8" s="1"/>
  <c r="U5" i="8" s="1"/>
  <c r="V5" i="8" s="1"/>
  <c r="W5" i="8" s="1"/>
  <c r="X5" i="8" s="1"/>
  <c r="Y5" i="8" s="1"/>
  <c r="Z5" i="8" s="1"/>
  <c r="AA5" i="8" s="1"/>
  <c r="AB5" i="8" s="1"/>
  <c r="AC5" i="8" s="1"/>
  <c r="AD5" i="8" s="1"/>
  <c r="AE5" i="8" s="1"/>
  <c r="AF5" i="8" s="1"/>
  <c r="H121" i="5" l="1"/>
  <c r="L51" i="5"/>
  <c r="K51" i="5" s="1"/>
  <c r="J51" i="5" s="1"/>
  <c r="I51" i="5" s="1"/>
  <c r="H51" i="5" s="1"/>
  <c r="G51" i="5" s="1"/>
  <c r="F51" i="5" s="1"/>
  <c r="E51" i="5" s="1"/>
  <c r="I39" i="11"/>
  <c r="M47" i="5" s="1"/>
  <c r="M56" i="5" s="1"/>
  <c r="L27" i="11"/>
  <c r="M27" i="11"/>
  <c r="G34" i="11"/>
  <c r="H34" i="11"/>
  <c r="AJ47" i="5"/>
  <c r="AJ56" i="5" s="1"/>
  <c r="AI47" i="5"/>
  <c r="AI56" i="5" s="1"/>
  <c r="AE47" i="5"/>
  <c r="AE56" i="5" s="1"/>
  <c r="AN47" i="5"/>
  <c r="AN56" i="5" s="1"/>
  <c r="AG47" i="5"/>
  <c r="AG56" i="5" s="1"/>
  <c r="AL47" i="5"/>
  <c r="AL56" i="5" s="1"/>
  <c r="AO47" i="5"/>
  <c r="AO56" i="5" s="1"/>
  <c r="AH47" i="5"/>
  <c r="AH56" i="5" s="1"/>
  <c r="AM47" i="5"/>
  <c r="AM56" i="5" s="1"/>
  <c r="AF47" i="5"/>
  <c r="AF56" i="5" s="1"/>
  <c r="AK47" i="5"/>
  <c r="AK56" i="5" s="1"/>
  <c r="L37" i="5"/>
  <c r="L41" i="5"/>
  <c r="AD37" i="5"/>
  <c r="AD41" i="5"/>
  <c r="AE41" i="5"/>
  <c r="AE37" i="5"/>
  <c r="AF41" i="5"/>
  <c r="AF37" i="5"/>
  <c r="AG37" i="5"/>
  <c r="AG41" i="5"/>
  <c r="AH37" i="5"/>
  <c r="AH41" i="5"/>
  <c r="AI37" i="5"/>
  <c r="AI41" i="5"/>
  <c r="AJ37" i="5"/>
  <c r="AJ41" i="5"/>
  <c r="M37" i="5"/>
  <c r="AK41" i="5"/>
  <c r="AK37" i="5"/>
  <c r="M41" i="5"/>
  <c r="AL37" i="5"/>
  <c r="N37" i="5"/>
  <c r="AL41" i="5"/>
  <c r="N41" i="5"/>
  <c r="AM37" i="5"/>
  <c r="AM41" i="5"/>
  <c r="O37" i="5"/>
  <c r="O41" i="5"/>
  <c r="AN41" i="5"/>
  <c r="AN37" i="5"/>
  <c r="P37" i="5"/>
  <c r="P41" i="5"/>
  <c r="Q37" i="5"/>
  <c r="AO41" i="5"/>
  <c r="AO37" i="5"/>
  <c r="Q41" i="5"/>
  <c r="R37" i="5"/>
  <c r="R41" i="5"/>
  <c r="S37" i="5"/>
  <c r="S41" i="5"/>
  <c r="T37" i="5"/>
  <c r="T41" i="5"/>
  <c r="U37" i="5"/>
  <c r="U41" i="5"/>
  <c r="V37" i="5"/>
  <c r="W41" i="5"/>
  <c r="W37" i="5"/>
  <c r="V41" i="5"/>
  <c r="Y27" i="5"/>
  <c r="X37" i="5"/>
  <c r="X31" i="5"/>
  <c r="X41" i="5" s="1"/>
  <c r="E24" i="5"/>
  <c r="AD24" i="5"/>
  <c r="AD56" i="5"/>
  <c r="AD29" i="5"/>
  <c r="T12" i="22" s="1"/>
  <c r="AO30" i="5"/>
  <c r="AN40" i="5"/>
  <c r="D35" i="11"/>
  <c r="F35" i="11" s="1"/>
  <c r="C41" i="11"/>
  <c r="D41" i="11" s="1"/>
  <c r="G28" i="11"/>
  <c r="H28" i="11"/>
  <c r="J28" i="11" s="1"/>
  <c r="I27" i="11"/>
  <c r="F40" i="11"/>
  <c r="G40" i="11" s="1"/>
  <c r="D18" i="11"/>
  <c r="F18" i="11" s="1"/>
  <c r="D19" i="11"/>
  <c r="F19" i="11" s="1"/>
  <c r="G19" i="11" s="1"/>
  <c r="D14" i="11"/>
  <c r="F14" i="11" s="1"/>
  <c r="G14" i="11" s="1"/>
  <c r="D17" i="11"/>
  <c r="F17" i="11" s="1"/>
  <c r="D16" i="11"/>
  <c r="F16" i="11" s="1"/>
  <c r="G16" i="11" s="1"/>
  <c r="D15" i="11"/>
  <c r="F15" i="11" s="1"/>
  <c r="G15" i="11" s="1"/>
  <c r="F47" i="5" l="1"/>
  <c r="G47" i="5" s="1"/>
  <c r="H47" i="5" s="1"/>
  <c r="I47" i="5" s="1"/>
  <c r="N47" i="5"/>
  <c r="O47" i="5" s="1"/>
  <c r="P47" i="5" s="1"/>
  <c r="G35" i="11"/>
  <c r="H35" i="11"/>
  <c r="I34" i="11"/>
  <c r="I40" i="11" s="1"/>
  <c r="M48" i="5" s="1"/>
  <c r="H40" i="11"/>
  <c r="E48" i="5" s="1"/>
  <c r="J34" i="11"/>
  <c r="J40" i="11" s="1"/>
  <c r="AD48" i="5" s="1"/>
  <c r="L34" i="11"/>
  <c r="L40" i="11" s="1"/>
  <c r="M52" i="5" s="1"/>
  <c r="M34" i="11"/>
  <c r="M40" i="11" s="1"/>
  <c r="AD52" i="5" s="1"/>
  <c r="L28" i="11"/>
  <c r="M28" i="11"/>
  <c r="L56" i="5"/>
  <c r="T20" i="22"/>
  <c r="AD65" i="5" s="1"/>
  <c r="AD25" i="5"/>
  <c r="T9" i="22" s="1"/>
  <c r="T17" i="22" s="1"/>
  <c r="AD63" i="5" s="1"/>
  <c r="T8" i="22"/>
  <c r="Y31" i="5"/>
  <c r="Y41" i="5" s="1"/>
  <c r="Z27" i="5"/>
  <c r="Y37" i="5"/>
  <c r="M28" i="5"/>
  <c r="AO40" i="5"/>
  <c r="Q47" i="5"/>
  <c r="P56" i="5"/>
  <c r="I28" i="11"/>
  <c r="F41" i="11"/>
  <c r="G41" i="11" s="1"/>
  <c r="AE24" i="5"/>
  <c r="T43" i="8"/>
  <c r="T55" i="8" s="1"/>
  <c r="AD75" i="5" s="1"/>
  <c r="AE28" i="5"/>
  <c r="U11" i="22" s="1"/>
  <c r="T46" i="8"/>
  <c r="T68" i="8" s="1"/>
  <c r="AD88" i="5" s="1"/>
  <c r="AD38" i="5"/>
  <c r="AD34" i="5"/>
  <c r="F24" i="5"/>
  <c r="G24" i="5" s="1"/>
  <c r="H24" i="5" s="1"/>
  <c r="I24" i="5" s="1"/>
  <c r="J24" i="5" s="1"/>
  <c r="K24" i="5" s="1"/>
  <c r="L24" i="5" s="1"/>
  <c r="O56" i="5" l="1"/>
  <c r="N56" i="5"/>
  <c r="AK52" i="5"/>
  <c r="AJ52" i="5"/>
  <c r="AL52" i="5"/>
  <c r="AF52" i="5"/>
  <c r="AH52" i="5"/>
  <c r="AI52" i="5"/>
  <c r="AN52" i="5"/>
  <c r="AG52" i="5"/>
  <c r="AO52" i="5"/>
  <c r="AE52" i="5"/>
  <c r="AM52" i="5"/>
  <c r="L52" i="5"/>
  <c r="N52" i="5"/>
  <c r="O52" i="5" s="1"/>
  <c r="P52" i="5" s="1"/>
  <c r="Q52" i="5" s="1"/>
  <c r="R52" i="5" s="1"/>
  <c r="S52" i="5" s="1"/>
  <c r="T52" i="5" s="1"/>
  <c r="U52" i="5" s="1"/>
  <c r="V52" i="5" s="1"/>
  <c r="W52" i="5" s="1"/>
  <c r="X52" i="5" s="1"/>
  <c r="Y52" i="5" s="1"/>
  <c r="Z52" i="5" s="1"/>
  <c r="AA52" i="5" s="1"/>
  <c r="AB52" i="5" s="1"/>
  <c r="AC52" i="5" s="1"/>
  <c r="AI48" i="5"/>
  <c r="AF48" i="5"/>
  <c r="AE48" i="5"/>
  <c r="AG48" i="5"/>
  <c r="AM48" i="5"/>
  <c r="AN48" i="5"/>
  <c r="AJ48" i="5"/>
  <c r="AH48" i="5"/>
  <c r="AH57" i="5" s="1"/>
  <c r="AK48" i="5"/>
  <c r="AK57" i="5" s="1"/>
  <c r="AL48" i="5"/>
  <c r="AO48" i="5"/>
  <c r="AD57" i="5"/>
  <c r="F48" i="5"/>
  <c r="F52" i="5" s="1"/>
  <c r="E52" i="5" s="1"/>
  <c r="N48" i="5"/>
  <c r="M57" i="5"/>
  <c r="H41" i="11"/>
  <c r="E49" i="5" s="1"/>
  <c r="I35" i="11"/>
  <c r="I41" i="11" s="1"/>
  <c r="M49" i="5" s="1"/>
  <c r="J35" i="11"/>
  <c r="J41" i="11" s="1"/>
  <c r="AD49" i="5" s="1"/>
  <c r="M35" i="11"/>
  <c r="M41" i="11" s="1"/>
  <c r="AD53" i="5" s="1"/>
  <c r="L35" i="11"/>
  <c r="L41" i="11" s="1"/>
  <c r="M53" i="5" s="1"/>
  <c r="M24" i="5"/>
  <c r="M25" i="5" s="1"/>
  <c r="C9" i="22" s="1"/>
  <c r="C17" i="22" s="1"/>
  <c r="M63" i="5" s="1"/>
  <c r="B43" i="8"/>
  <c r="B8" i="22"/>
  <c r="L25" i="5"/>
  <c r="L34" i="5"/>
  <c r="C11" i="22"/>
  <c r="L28" i="5"/>
  <c r="J47" i="5"/>
  <c r="AE25" i="5"/>
  <c r="U9" i="22" s="1"/>
  <c r="U17" i="22" s="1"/>
  <c r="AE63" i="5" s="1"/>
  <c r="U8" i="22"/>
  <c r="AA27" i="5"/>
  <c r="Z37" i="5"/>
  <c r="Z31" i="5"/>
  <c r="Z41" i="5" s="1"/>
  <c r="AE38" i="5"/>
  <c r="AE29" i="5"/>
  <c r="U12" i="22" s="1"/>
  <c r="N28" i="5"/>
  <c r="M29" i="5"/>
  <c r="C46" i="8"/>
  <c r="C68" i="8" s="1"/>
  <c r="M88" i="5" s="1"/>
  <c r="M38" i="5"/>
  <c r="R47" i="5"/>
  <c r="Q56" i="5"/>
  <c r="T54" i="8"/>
  <c r="AD74" i="5" s="1"/>
  <c r="T52" i="8"/>
  <c r="AD72" i="5" s="1"/>
  <c r="T53" i="8"/>
  <c r="AD73" i="5" s="1"/>
  <c r="T56" i="8"/>
  <c r="AD76" i="5" s="1"/>
  <c r="AF24" i="5"/>
  <c r="U43" i="8"/>
  <c r="U55" i="8" s="1"/>
  <c r="AE75" i="5" s="1"/>
  <c r="AE34" i="5"/>
  <c r="T65" i="8"/>
  <c r="AD85" i="5" s="1"/>
  <c r="T66" i="8"/>
  <c r="AD86" i="5" s="1"/>
  <c r="T69" i="8"/>
  <c r="AD89" i="5" s="1"/>
  <c r="T67" i="8"/>
  <c r="AD87" i="5" s="1"/>
  <c r="AF28" i="5"/>
  <c r="U46" i="8"/>
  <c r="U68" i="8" s="1"/>
  <c r="AE88" i="5" s="1"/>
  <c r="G48" i="5" l="1"/>
  <c r="G52" i="5" s="1"/>
  <c r="AJ57" i="5"/>
  <c r="AE57" i="5"/>
  <c r="AI57" i="5"/>
  <c r="AL57" i="5"/>
  <c r="AM57" i="5"/>
  <c r="AG57" i="5"/>
  <c r="N49" i="5"/>
  <c r="F49" i="5"/>
  <c r="F53" i="5" s="1"/>
  <c r="E53" i="5" s="1"/>
  <c r="M58" i="5"/>
  <c r="M59" i="5" s="1"/>
  <c r="M104" i="5" s="1"/>
  <c r="I138" i="5" s="1"/>
  <c r="AO57" i="5"/>
  <c r="AF57" i="5"/>
  <c r="L53" i="5"/>
  <c r="N53" i="5"/>
  <c r="O53" i="5" s="1"/>
  <c r="P53" i="5" s="1"/>
  <c r="Q53" i="5" s="1"/>
  <c r="R53" i="5" s="1"/>
  <c r="S53" i="5" s="1"/>
  <c r="T53" i="5" s="1"/>
  <c r="U53" i="5" s="1"/>
  <c r="V53" i="5" s="1"/>
  <c r="W53" i="5" s="1"/>
  <c r="X53" i="5" s="1"/>
  <c r="Y53" i="5" s="1"/>
  <c r="Z53" i="5" s="1"/>
  <c r="AA53" i="5" s="1"/>
  <c r="AB53" i="5" s="1"/>
  <c r="AC53" i="5" s="1"/>
  <c r="AO53" i="5"/>
  <c r="AH53" i="5"/>
  <c r="AL53" i="5"/>
  <c r="AN53" i="5"/>
  <c r="AI53" i="5"/>
  <c r="AK53" i="5"/>
  <c r="AE53" i="5"/>
  <c r="AG53" i="5"/>
  <c r="AM53" i="5"/>
  <c r="AF53" i="5"/>
  <c r="AJ53" i="5"/>
  <c r="O48" i="5"/>
  <c r="N57" i="5"/>
  <c r="AN57" i="5"/>
  <c r="AK49" i="5"/>
  <c r="AE49" i="5"/>
  <c r="AE58" i="5" s="1"/>
  <c r="AF49" i="5"/>
  <c r="AI49" i="5"/>
  <c r="AM49" i="5"/>
  <c r="AL49" i="5"/>
  <c r="AN49" i="5"/>
  <c r="AG49" i="5"/>
  <c r="AH49" i="5"/>
  <c r="AJ49" i="5"/>
  <c r="AO49" i="5"/>
  <c r="AO58" i="5" s="1"/>
  <c r="AD58" i="5"/>
  <c r="C43" i="8"/>
  <c r="C55" i="8" s="1"/>
  <c r="M75" i="5" s="1"/>
  <c r="B9" i="22"/>
  <c r="B17" i="22" s="1"/>
  <c r="L63" i="5" s="1"/>
  <c r="B44" i="8"/>
  <c r="L35" i="5"/>
  <c r="N24" i="5"/>
  <c r="D8" i="22" s="1"/>
  <c r="B55" i="8"/>
  <c r="L75" i="5" s="1"/>
  <c r="B54" i="8"/>
  <c r="L74" i="5" s="1"/>
  <c r="B53" i="8"/>
  <c r="L73" i="5" s="1"/>
  <c r="B52" i="8"/>
  <c r="L72" i="5" s="1"/>
  <c r="B56" i="8"/>
  <c r="L76" i="5" s="1"/>
  <c r="C8" i="22"/>
  <c r="M34" i="5"/>
  <c r="L29" i="5"/>
  <c r="B11" i="22"/>
  <c r="L38" i="5"/>
  <c r="B46" i="8"/>
  <c r="U20" i="22"/>
  <c r="AE65" i="5" s="1"/>
  <c r="K47" i="5"/>
  <c r="N29" i="5"/>
  <c r="D12" i="22" s="1"/>
  <c r="D11" i="22"/>
  <c r="M39" i="5"/>
  <c r="C12" i="22"/>
  <c r="AF25" i="5"/>
  <c r="V9" i="22" s="1"/>
  <c r="V17" i="22" s="1"/>
  <c r="AF63" i="5" s="1"/>
  <c r="V8" i="22"/>
  <c r="AF29" i="5"/>
  <c r="V12" i="22" s="1"/>
  <c r="V11" i="22"/>
  <c r="AA37" i="5"/>
  <c r="AA31" i="5"/>
  <c r="AA41" i="5" s="1"/>
  <c r="AB27" i="5"/>
  <c r="D46" i="8"/>
  <c r="D68" i="8" s="1"/>
  <c r="N88" i="5" s="1"/>
  <c r="O28" i="5"/>
  <c r="C47" i="8"/>
  <c r="C74" i="8" s="1"/>
  <c r="M94" i="5" s="1"/>
  <c r="N38" i="5"/>
  <c r="M40" i="5"/>
  <c r="N30" i="5"/>
  <c r="M36" i="5"/>
  <c r="C67" i="8"/>
  <c r="M87" i="5" s="1"/>
  <c r="C66" i="8"/>
  <c r="M86" i="5" s="1"/>
  <c r="C65" i="8"/>
  <c r="M85" i="5" s="1"/>
  <c r="C69" i="8"/>
  <c r="M89" i="5" s="1"/>
  <c r="S47" i="5"/>
  <c r="R56" i="5"/>
  <c r="U65" i="8"/>
  <c r="AE85" i="5" s="1"/>
  <c r="U66" i="8"/>
  <c r="AE86" i="5" s="1"/>
  <c r="U69" i="8"/>
  <c r="AE89" i="5" s="1"/>
  <c r="U67" i="8"/>
  <c r="AE87" i="5" s="1"/>
  <c r="AG24" i="5"/>
  <c r="V43" i="8"/>
  <c r="V55" i="8" s="1"/>
  <c r="AF75" i="5" s="1"/>
  <c r="AF34" i="5"/>
  <c r="AG28" i="5"/>
  <c r="V46" i="8"/>
  <c r="V68" i="8" s="1"/>
  <c r="AF88" i="5" s="1"/>
  <c r="AF38" i="5"/>
  <c r="U54" i="8"/>
  <c r="AE74" i="5" s="1"/>
  <c r="U52" i="8"/>
  <c r="AE72" i="5" s="1"/>
  <c r="U53" i="8"/>
  <c r="AE73" i="5" s="1"/>
  <c r="U56" i="8"/>
  <c r="AE76" i="5" s="1"/>
  <c r="H48" i="5" l="1"/>
  <c r="H52" i="5" s="1"/>
  <c r="AM58" i="5"/>
  <c r="C53" i="8"/>
  <c r="M73" i="5" s="1"/>
  <c r="AL58" i="5"/>
  <c r="AI58" i="5"/>
  <c r="AK58" i="5"/>
  <c r="G49" i="5"/>
  <c r="AF58" i="5"/>
  <c r="P48" i="5"/>
  <c r="O57" i="5"/>
  <c r="AH58" i="5"/>
  <c r="AG58" i="5"/>
  <c r="AJ58" i="5"/>
  <c r="AN58" i="5"/>
  <c r="O49" i="5"/>
  <c r="N58" i="5"/>
  <c r="N59" i="5" s="1"/>
  <c r="N104" i="5" s="1"/>
  <c r="I139" i="5" s="1"/>
  <c r="C52" i="8"/>
  <c r="M72" i="5" s="1"/>
  <c r="C54" i="8"/>
  <c r="M74" i="5" s="1"/>
  <c r="C56" i="8"/>
  <c r="M76" i="5" s="1"/>
  <c r="B12" i="22"/>
  <c r="B20" i="22" s="1"/>
  <c r="L65" i="5" s="1"/>
  <c r="L39" i="5"/>
  <c r="B47" i="8"/>
  <c r="O24" i="5"/>
  <c r="E8" i="22" s="1"/>
  <c r="N25" i="5"/>
  <c r="D9" i="22" s="1"/>
  <c r="D17" i="22" s="1"/>
  <c r="N63" i="5" s="1"/>
  <c r="N34" i="5"/>
  <c r="B68" i="8"/>
  <c r="L88" i="5" s="1"/>
  <c r="B66" i="8"/>
  <c r="L86" i="5" s="1"/>
  <c r="B67" i="8"/>
  <c r="L87" i="5" s="1"/>
  <c r="B69" i="8"/>
  <c r="L89" i="5" s="1"/>
  <c r="B65" i="8"/>
  <c r="L85" i="5" s="1"/>
  <c r="B62" i="8"/>
  <c r="L82" i="5" s="1"/>
  <c r="B61" i="8"/>
  <c r="L81" i="5" s="1"/>
  <c r="B60" i="8"/>
  <c r="L80" i="5" s="1"/>
  <c r="B59" i="8"/>
  <c r="L79" i="5" s="1"/>
  <c r="B58" i="8"/>
  <c r="L78" i="5" s="1"/>
  <c r="D43" i="8"/>
  <c r="D55" i="8" s="1"/>
  <c r="N75" i="5" s="1"/>
  <c r="L47" i="5"/>
  <c r="D20" i="22"/>
  <c r="N65" i="5" s="1"/>
  <c r="C20" i="22"/>
  <c r="M65" i="5" s="1"/>
  <c r="V20" i="22"/>
  <c r="AF65" i="5" s="1"/>
  <c r="AG29" i="5"/>
  <c r="W12" i="22" s="1"/>
  <c r="W11" i="22"/>
  <c r="AG25" i="5"/>
  <c r="W9" i="22" s="1"/>
  <c r="W17" i="22" s="1"/>
  <c r="AG63" i="5" s="1"/>
  <c r="W8" i="22"/>
  <c r="O38" i="5"/>
  <c r="E11" i="22"/>
  <c r="AC27" i="5"/>
  <c r="AB37" i="5"/>
  <c r="AB31" i="5"/>
  <c r="AB41" i="5" s="1"/>
  <c r="C75" i="8"/>
  <c r="M95" i="5" s="1"/>
  <c r="D65" i="8"/>
  <c r="N85" i="5" s="1"/>
  <c r="D69" i="8"/>
  <c r="N89" i="5" s="1"/>
  <c r="D66" i="8"/>
  <c r="N86" i="5" s="1"/>
  <c r="D67" i="8"/>
  <c r="N87" i="5" s="1"/>
  <c r="O29" i="5"/>
  <c r="E12" i="22" s="1"/>
  <c r="E46" i="8"/>
  <c r="E66" i="8" s="1"/>
  <c r="O86" i="5" s="1"/>
  <c r="P28" i="5"/>
  <c r="C71" i="8"/>
  <c r="M91" i="5" s="1"/>
  <c r="C73" i="8"/>
  <c r="M93" i="5" s="1"/>
  <c r="C72" i="8"/>
  <c r="M92" i="5" s="1"/>
  <c r="N36" i="5"/>
  <c r="O30" i="5"/>
  <c r="N40" i="5"/>
  <c r="T47" i="5"/>
  <c r="S56" i="5"/>
  <c r="V66" i="8"/>
  <c r="AF86" i="5" s="1"/>
  <c r="V69" i="8"/>
  <c r="AF89" i="5" s="1"/>
  <c r="V67" i="8"/>
  <c r="AF87" i="5" s="1"/>
  <c r="V65" i="8"/>
  <c r="AF85" i="5" s="1"/>
  <c r="AH28" i="5"/>
  <c r="W46" i="8"/>
  <c r="W68" i="8" s="1"/>
  <c r="AG88" i="5" s="1"/>
  <c r="AG38" i="5"/>
  <c r="V52" i="8"/>
  <c r="AF72" i="5" s="1"/>
  <c r="V53" i="8"/>
  <c r="AF73" i="5" s="1"/>
  <c r="V56" i="8"/>
  <c r="AF76" i="5" s="1"/>
  <c r="V54" i="8"/>
  <c r="AF74" i="5" s="1"/>
  <c r="AH24" i="5"/>
  <c r="W43" i="8"/>
  <c r="W55" i="8" s="1"/>
  <c r="AG75" i="5" s="1"/>
  <c r="AG34" i="5"/>
  <c r="I48" i="5" l="1"/>
  <c r="D54" i="8"/>
  <c r="N74" i="5" s="1"/>
  <c r="G53" i="5"/>
  <c r="H49" i="5"/>
  <c r="P57" i="5"/>
  <c r="Q48" i="5"/>
  <c r="P49" i="5"/>
  <c r="O58" i="5"/>
  <c r="O59" i="5" s="1"/>
  <c r="O104" i="5" s="1"/>
  <c r="I140" i="5" s="1"/>
  <c r="I52" i="5"/>
  <c r="J48" i="5"/>
  <c r="P24" i="5"/>
  <c r="F8" i="22" s="1"/>
  <c r="D53" i="8"/>
  <c r="N73" i="5" s="1"/>
  <c r="L98" i="5"/>
  <c r="L97" i="5"/>
  <c r="O34" i="5"/>
  <c r="D52" i="8"/>
  <c r="N72" i="5" s="1"/>
  <c r="B75" i="8"/>
  <c r="L95" i="5" s="1"/>
  <c r="B74" i="8"/>
  <c r="L94" i="5" s="1"/>
  <c r="B71" i="8"/>
  <c r="L91" i="5" s="1"/>
  <c r="B72" i="8"/>
  <c r="L92" i="5" s="1"/>
  <c r="B73" i="8"/>
  <c r="L93" i="5" s="1"/>
  <c r="E43" i="8"/>
  <c r="E55" i="8" s="1"/>
  <c r="O75" i="5" s="1"/>
  <c r="L43" i="5"/>
  <c r="L103" i="5" s="1"/>
  <c r="O25" i="5"/>
  <c r="E9" i="22" s="1"/>
  <c r="E17" i="22" s="1"/>
  <c r="O63" i="5" s="1"/>
  <c r="D56" i="8"/>
  <c r="N76" i="5" s="1"/>
  <c r="E20" i="22"/>
  <c r="O65" i="5" s="1"/>
  <c r="W20" i="22"/>
  <c r="AG65" i="5" s="1"/>
  <c r="B29" i="22"/>
  <c r="AH25" i="5"/>
  <c r="X9" i="22" s="1"/>
  <c r="X17" i="22" s="1"/>
  <c r="AH63" i="5" s="1"/>
  <c r="X8" i="22"/>
  <c r="F46" i="8"/>
  <c r="F68" i="8" s="1"/>
  <c r="P88" i="5" s="1"/>
  <c r="F11" i="22"/>
  <c r="AH29" i="5"/>
  <c r="X12" i="22" s="1"/>
  <c r="X11" i="22"/>
  <c r="AC37" i="5"/>
  <c r="C37" i="5" s="1"/>
  <c r="AC31" i="5"/>
  <c r="AC41" i="5" s="1"/>
  <c r="C41" i="5" s="1"/>
  <c r="E67" i="8"/>
  <c r="O87" i="5" s="1"/>
  <c r="Q28" i="5"/>
  <c r="P38" i="5"/>
  <c r="P29" i="5"/>
  <c r="F12" i="22" s="1"/>
  <c r="E68" i="8"/>
  <c r="O88" i="5" s="1"/>
  <c r="E65" i="8"/>
  <c r="O85" i="5" s="1"/>
  <c r="E69" i="8"/>
  <c r="O89" i="5" s="1"/>
  <c r="O36" i="5"/>
  <c r="P30" i="5"/>
  <c r="O40" i="5"/>
  <c r="U47" i="5"/>
  <c r="T56" i="5"/>
  <c r="W66" i="8"/>
  <c r="AG86" i="5" s="1"/>
  <c r="W69" i="8"/>
  <c r="AG89" i="5" s="1"/>
  <c r="W67" i="8"/>
  <c r="AG87" i="5" s="1"/>
  <c r="W65" i="8"/>
  <c r="AG85" i="5" s="1"/>
  <c r="AI28" i="5"/>
  <c r="X46" i="8"/>
  <c r="X68" i="8" s="1"/>
  <c r="AH88" i="5" s="1"/>
  <c r="AH38" i="5"/>
  <c r="W52" i="8"/>
  <c r="AG72" i="5" s="1"/>
  <c r="W53" i="8"/>
  <c r="AG73" i="5" s="1"/>
  <c r="W56" i="8"/>
  <c r="AG76" i="5" s="1"/>
  <c r="W54" i="8"/>
  <c r="AG74" i="5" s="1"/>
  <c r="AI24" i="5"/>
  <c r="X43" i="8"/>
  <c r="X55" i="8" s="1"/>
  <c r="AH75" i="5" s="1"/>
  <c r="AH34" i="5"/>
  <c r="E117" i="5"/>
  <c r="Q24" i="5" l="1"/>
  <c r="G8" i="22" s="1"/>
  <c r="G16" i="22" s="1"/>
  <c r="Q62" i="5" s="1"/>
  <c r="P34" i="5"/>
  <c r="F43" i="8"/>
  <c r="F55" i="8" s="1"/>
  <c r="P75" i="5" s="1"/>
  <c r="E52" i="8"/>
  <c r="O72" i="5" s="1"/>
  <c r="E54" i="8"/>
  <c r="O74" i="5" s="1"/>
  <c r="H137" i="5"/>
  <c r="P25" i="5"/>
  <c r="F9" i="22" s="1"/>
  <c r="F17" i="22" s="1"/>
  <c r="P63" i="5" s="1"/>
  <c r="L99" i="5"/>
  <c r="L106" i="5" s="1"/>
  <c r="H53" i="5"/>
  <c r="I49" i="5"/>
  <c r="J52" i="5"/>
  <c r="K48" i="5"/>
  <c r="K52" i="5" s="1"/>
  <c r="P58" i="5"/>
  <c r="P59" i="5" s="1"/>
  <c r="P104" i="5" s="1"/>
  <c r="I141" i="5" s="1"/>
  <c r="Q49" i="5"/>
  <c r="R48" i="5"/>
  <c r="Q57" i="5"/>
  <c r="E53" i="8"/>
  <c r="O73" i="5" s="1"/>
  <c r="X16" i="22"/>
  <c r="AH62" i="5" s="1"/>
  <c r="E56" i="8"/>
  <c r="O76" i="5" s="1"/>
  <c r="F65" i="8"/>
  <c r="P85" i="5" s="1"/>
  <c r="B16" i="22"/>
  <c r="L62" i="5" s="1"/>
  <c r="B19" i="22"/>
  <c r="L64" i="5" s="1"/>
  <c r="X20" i="22"/>
  <c r="AH65" i="5" s="1"/>
  <c r="F20" i="22"/>
  <c r="P65" i="5" s="1"/>
  <c r="F16" i="22"/>
  <c r="P62" i="5" s="1"/>
  <c r="V19" i="22"/>
  <c r="AF64" i="5" s="1"/>
  <c r="F19" i="22"/>
  <c r="P64" i="5" s="1"/>
  <c r="U19" i="22"/>
  <c r="AE64" i="5" s="1"/>
  <c r="E19" i="22"/>
  <c r="O64" i="5" s="1"/>
  <c r="T19" i="22"/>
  <c r="AD64" i="5" s="1"/>
  <c r="D19" i="22"/>
  <c r="N64" i="5" s="1"/>
  <c r="C19" i="22"/>
  <c r="M64" i="5" s="1"/>
  <c r="W19" i="22"/>
  <c r="AG64" i="5" s="1"/>
  <c r="X19" i="22"/>
  <c r="AH64" i="5" s="1"/>
  <c r="T16" i="22"/>
  <c r="AD62" i="5" s="1"/>
  <c r="D16" i="22"/>
  <c r="N62" i="5" s="1"/>
  <c r="C16" i="22"/>
  <c r="M62" i="5" s="1"/>
  <c r="U16" i="22"/>
  <c r="AE62" i="5" s="1"/>
  <c r="V16" i="22"/>
  <c r="AF62" i="5" s="1"/>
  <c r="E16" i="22"/>
  <c r="O62" i="5" s="1"/>
  <c r="W16" i="22"/>
  <c r="AG62" i="5" s="1"/>
  <c r="F67" i="8"/>
  <c r="P87" i="5" s="1"/>
  <c r="F69" i="8"/>
  <c r="P89" i="5" s="1"/>
  <c r="AI29" i="5"/>
  <c r="Y12" i="22" s="1"/>
  <c r="Y11" i="22"/>
  <c r="Q29" i="5"/>
  <c r="G12" i="22" s="1"/>
  <c r="G11" i="22"/>
  <c r="G19" i="22" s="1"/>
  <c r="AI25" i="5"/>
  <c r="Y9" i="22" s="1"/>
  <c r="Y17" i="22" s="1"/>
  <c r="AI63" i="5" s="1"/>
  <c r="Y8" i="22"/>
  <c r="Y16" i="22" s="1"/>
  <c r="AI62" i="5" s="1"/>
  <c r="F66" i="8"/>
  <c r="P86" i="5" s="1"/>
  <c r="Q38" i="5"/>
  <c r="G46" i="8"/>
  <c r="G68" i="8" s="1"/>
  <c r="Q88" i="5" s="1"/>
  <c r="R28" i="5"/>
  <c r="F52" i="8"/>
  <c r="P72" i="5" s="1"/>
  <c r="F54" i="8"/>
  <c r="P74" i="5" s="1"/>
  <c r="G43" i="8"/>
  <c r="G55" i="8" s="1"/>
  <c r="Q75" i="5" s="1"/>
  <c r="Q25" i="5"/>
  <c r="G9" i="22" s="1"/>
  <c r="G17" i="22" s="1"/>
  <c r="Q63" i="5" s="1"/>
  <c r="F53" i="8"/>
  <c r="P73" i="5" s="1"/>
  <c r="P36" i="5"/>
  <c r="Q30" i="5"/>
  <c r="P40" i="5"/>
  <c r="V47" i="5"/>
  <c r="U56" i="5"/>
  <c r="R24" i="5"/>
  <c r="H8" i="22" s="1"/>
  <c r="H16" i="22" s="1"/>
  <c r="R62" i="5" s="1"/>
  <c r="Q34" i="5"/>
  <c r="X66" i="8"/>
  <c r="AH86" i="5" s="1"/>
  <c r="X69" i="8"/>
  <c r="AH89" i="5" s="1"/>
  <c r="X67" i="8"/>
  <c r="AH87" i="5" s="1"/>
  <c r="X65" i="8"/>
  <c r="AH85" i="5" s="1"/>
  <c r="X53" i="8"/>
  <c r="AH73" i="5" s="1"/>
  <c r="X56" i="8"/>
  <c r="AH76" i="5" s="1"/>
  <c r="X54" i="8"/>
  <c r="AH74" i="5" s="1"/>
  <c r="X52" i="8"/>
  <c r="AH72" i="5" s="1"/>
  <c r="AJ28" i="5"/>
  <c r="Y46" i="8"/>
  <c r="Y68" i="8" s="1"/>
  <c r="AI88" i="5" s="1"/>
  <c r="AI38" i="5"/>
  <c r="AJ24" i="5"/>
  <c r="Y43" i="8"/>
  <c r="Y55" i="8" s="1"/>
  <c r="AI75" i="5" s="1"/>
  <c r="AI34" i="5"/>
  <c r="F56" i="8" l="1"/>
  <c r="P76" i="5" s="1"/>
  <c r="K137" i="5"/>
  <c r="I53" i="5"/>
  <c r="J49" i="5"/>
  <c r="R49" i="5"/>
  <c r="Q58" i="5"/>
  <c r="Q59" i="5" s="1"/>
  <c r="Q104" i="5" s="1"/>
  <c r="I142" i="5" s="1"/>
  <c r="S48" i="5"/>
  <c r="R57" i="5"/>
  <c r="N66" i="5"/>
  <c r="N105" i="5" s="1"/>
  <c r="J139" i="5" s="1"/>
  <c r="L66" i="5"/>
  <c r="L105" i="5" s="1"/>
  <c r="O66" i="5"/>
  <c r="O105" i="5" s="1"/>
  <c r="J140" i="5" s="1"/>
  <c r="AF66" i="5"/>
  <c r="AF105" i="5" s="1"/>
  <c r="J157" i="5" s="1"/>
  <c r="Y20" i="22"/>
  <c r="AI65" i="5" s="1"/>
  <c r="AD66" i="5"/>
  <c r="AD105" i="5" s="1"/>
  <c r="J155" i="5" s="1"/>
  <c r="Y19" i="22"/>
  <c r="AI64" i="5" s="1"/>
  <c r="Q64" i="5"/>
  <c r="G20" i="22"/>
  <c r="Q65" i="5" s="1"/>
  <c r="AG66" i="5"/>
  <c r="AG105" i="5" s="1"/>
  <c r="J158" i="5" s="1"/>
  <c r="AH66" i="5"/>
  <c r="AH105" i="5" s="1"/>
  <c r="J159" i="5" s="1"/>
  <c r="P66" i="5"/>
  <c r="P105" i="5" s="1"/>
  <c r="J141" i="5" s="1"/>
  <c r="AE66" i="5"/>
  <c r="AE105" i="5" s="1"/>
  <c r="J156" i="5" s="1"/>
  <c r="M66" i="5"/>
  <c r="M105" i="5" s="1"/>
  <c r="J138" i="5" s="1"/>
  <c r="S28" i="5"/>
  <c r="I11" i="22" s="1"/>
  <c r="H11" i="22"/>
  <c r="AJ25" i="5"/>
  <c r="Z9" i="22" s="1"/>
  <c r="Z17" i="22" s="1"/>
  <c r="AJ63" i="5" s="1"/>
  <c r="Z8" i="22"/>
  <c r="Z16" i="22" s="1"/>
  <c r="AJ62" i="5" s="1"/>
  <c r="AJ29" i="5"/>
  <c r="Z12" i="22" s="1"/>
  <c r="Z11" i="22"/>
  <c r="R29" i="5"/>
  <c r="H12" i="22" s="1"/>
  <c r="G69" i="8"/>
  <c r="Q89" i="5" s="1"/>
  <c r="G66" i="8"/>
  <c r="Q86" i="5" s="1"/>
  <c r="R38" i="5"/>
  <c r="H46" i="8"/>
  <c r="H68" i="8" s="1"/>
  <c r="R88" i="5" s="1"/>
  <c r="G65" i="8"/>
  <c r="Q85" i="5" s="1"/>
  <c r="G67" i="8"/>
  <c r="Q87" i="5" s="1"/>
  <c r="G53" i="8"/>
  <c r="Q73" i="5" s="1"/>
  <c r="H43" i="8"/>
  <c r="H55" i="8" s="1"/>
  <c r="R75" i="5" s="1"/>
  <c r="R25" i="5"/>
  <c r="H9" i="22" s="1"/>
  <c r="H17" i="22" s="1"/>
  <c r="R63" i="5" s="1"/>
  <c r="G54" i="8"/>
  <c r="Q74" i="5" s="1"/>
  <c r="G56" i="8"/>
  <c r="Q76" i="5" s="1"/>
  <c r="G52" i="8"/>
  <c r="Q72" i="5" s="1"/>
  <c r="Q36" i="5"/>
  <c r="R30" i="5"/>
  <c r="Q40" i="5"/>
  <c r="W47" i="5"/>
  <c r="V56" i="5"/>
  <c r="R34" i="5"/>
  <c r="S24" i="5"/>
  <c r="I8" i="22" s="1"/>
  <c r="I16" i="22" s="1"/>
  <c r="S62" i="5" s="1"/>
  <c r="Y69" i="8"/>
  <c r="AI89" i="5" s="1"/>
  <c r="Y67" i="8"/>
  <c r="AI87" i="5" s="1"/>
  <c r="Y65" i="8"/>
  <c r="AI85" i="5" s="1"/>
  <c r="Y66" i="8"/>
  <c r="AI86" i="5" s="1"/>
  <c r="Y53" i="8"/>
  <c r="AI73" i="5" s="1"/>
  <c r="Y56" i="8"/>
  <c r="AI76" i="5" s="1"/>
  <c r="Y54" i="8"/>
  <c r="AI74" i="5" s="1"/>
  <c r="Y52" i="8"/>
  <c r="AI72" i="5" s="1"/>
  <c r="AK28" i="5"/>
  <c r="Z46" i="8"/>
  <c r="Z68" i="8" s="1"/>
  <c r="AJ88" i="5" s="1"/>
  <c r="AJ38" i="5"/>
  <c r="AK24" i="5"/>
  <c r="Z43" i="8"/>
  <c r="Z55" i="8" s="1"/>
  <c r="AJ75" i="5" s="1"/>
  <c r="AJ34" i="5"/>
  <c r="J137" i="5" l="1"/>
  <c r="J53" i="5"/>
  <c r="K49" i="5"/>
  <c r="K53" i="5" s="1"/>
  <c r="R58" i="5"/>
  <c r="R59" i="5" s="1"/>
  <c r="R104" i="5" s="1"/>
  <c r="I143" i="5" s="1"/>
  <c r="S49" i="5"/>
  <c r="L48" i="5"/>
  <c r="L57" i="5" s="1"/>
  <c r="T48" i="5"/>
  <c r="S57" i="5"/>
  <c r="Q66" i="5"/>
  <c r="Q105" i="5" s="1"/>
  <c r="J142" i="5" s="1"/>
  <c r="AI66" i="5"/>
  <c r="AI105" i="5" s="1"/>
  <c r="J160" i="5" s="1"/>
  <c r="H20" i="22"/>
  <c r="R65" i="5" s="1"/>
  <c r="I19" i="22"/>
  <c r="S64" i="5" s="1"/>
  <c r="Z19" i="22"/>
  <c r="AJ64" i="5" s="1"/>
  <c r="Z20" i="22"/>
  <c r="AJ65" i="5" s="1"/>
  <c r="H19" i="22"/>
  <c r="R64" i="5" s="1"/>
  <c r="H69" i="8"/>
  <c r="R89" i="5" s="1"/>
  <c r="AK25" i="5"/>
  <c r="AA9" i="22" s="1"/>
  <c r="AA17" i="22" s="1"/>
  <c r="AK63" i="5" s="1"/>
  <c r="AA8" i="22"/>
  <c r="AA16" i="22" s="1"/>
  <c r="AK62" i="5" s="1"/>
  <c r="AK29" i="5"/>
  <c r="AA12" i="22" s="1"/>
  <c r="AA11" i="22"/>
  <c r="S29" i="5"/>
  <c r="I12" i="22" s="1"/>
  <c r="S38" i="5"/>
  <c r="I46" i="8"/>
  <c r="I68" i="8" s="1"/>
  <c r="S88" i="5" s="1"/>
  <c r="T28" i="5"/>
  <c r="J11" i="22" s="1"/>
  <c r="H65" i="8"/>
  <c r="R85" i="5" s="1"/>
  <c r="H66" i="8"/>
  <c r="R86" i="5" s="1"/>
  <c r="H67" i="8"/>
  <c r="R87" i="5" s="1"/>
  <c r="H54" i="8"/>
  <c r="R74" i="5" s="1"/>
  <c r="H53" i="8"/>
  <c r="R73" i="5" s="1"/>
  <c r="H56" i="8"/>
  <c r="R76" i="5" s="1"/>
  <c r="H52" i="8"/>
  <c r="R72" i="5" s="1"/>
  <c r="I43" i="8"/>
  <c r="I55" i="8" s="1"/>
  <c r="S75" i="5" s="1"/>
  <c r="S25" i="5"/>
  <c r="I9" i="22" s="1"/>
  <c r="I17" i="22" s="1"/>
  <c r="S63" i="5" s="1"/>
  <c r="S30" i="5"/>
  <c r="R40" i="5"/>
  <c r="R36" i="5"/>
  <c r="S34" i="5"/>
  <c r="T24" i="5"/>
  <c r="J8" i="22" s="1"/>
  <c r="J16" i="22" s="1"/>
  <c r="T62" i="5" s="1"/>
  <c r="X47" i="5"/>
  <c r="W56" i="5"/>
  <c r="Z53" i="8"/>
  <c r="AJ73" i="5" s="1"/>
  <c r="Z56" i="8"/>
  <c r="AJ76" i="5" s="1"/>
  <c r="Z54" i="8"/>
  <c r="AJ74" i="5" s="1"/>
  <c r="Z52" i="8"/>
  <c r="AJ72" i="5" s="1"/>
  <c r="AL28" i="5"/>
  <c r="AA46" i="8"/>
  <c r="AA68" i="8" s="1"/>
  <c r="AK88" i="5" s="1"/>
  <c r="AK38" i="5"/>
  <c r="Z67" i="8"/>
  <c r="AJ87" i="5" s="1"/>
  <c r="Z65" i="8"/>
  <c r="AJ85" i="5" s="1"/>
  <c r="Z66" i="8"/>
  <c r="AJ86" i="5" s="1"/>
  <c r="Z69" i="8"/>
  <c r="AJ89" i="5" s="1"/>
  <c r="AL24" i="5"/>
  <c r="AA43" i="8"/>
  <c r="AA55" i="8" s="1"/>
  <c r="AK75" i="5" s="1"/>
  <c r="AK34" i="5"/>
  <c r="L49" i="5" l="1"/>
  <c r="L58" i="5" s="1"/>
  <c r="L59" i="5" s="1"/>
  <c r="L104" i="5" s="1"/>
  <c r="L107" i="5" s="1"/>
  <c r="L114" i="5" s="1"/>
  <c r="T49" i="5"/>
  <c r="S58" i="5"/>
  <c r="S59" i="5" s="1"/>
  <c r="S104" i="5" s="1"/>
  <c r="I144" i="5" s="1"/>
  <c r="U48" i="5"/>
  <c r="T57" i="5"/>
  <c r="R66" i="5"/>
  <c r="R105" i="5" s="1"/>
  <c r="J143" i="5" s="1"/>
  <c r="AJ66" i="5"/>
  <c r="AJ105" i="5" s="1"/>
  <c r="J161" i="5" s="1"/>
  <c r="I20" i="22"/>
  <c r="S65" i="5" s="1"/>
  <c r="S66" i="5" s="1"/>
  <c r="S105" i="5" s="1"/>
  <c r="J144" i="5" s="1"/>
  <c r="J19" i="22"/>
  <c r="T64" i="5" s="1"/>
  <c r="AA20" i="22"/>
  <c r="AK65" i="5" s="1"/>
  <c r="AA19" i="22"/>
  <c r="AK64" i="5" s="1"/>
  <c r="I66" i="8"/>
  <c r="S86" i="5" s="1"/>
  <c r="I67" i="8"/>
  <c r="S87" i="5" s="1"/>
  <c r="U28" i="5"/>
  <c r="K11" i="22" s="1"/>
  <c r="I65" i="8"/>
  <c r="S85" i="5" s="1"/>
  <c r="I69" i="8"/>
  <c r="S89" i="5" s="1"/>
  <c r="T38" i="5"/>
  <c r="AL29" i="5"/>
  <c r="AB12" i="22" s="1"/>
  <c r="AB11" i="22"/>
  <c r="AL25" i="5"/>
  <c r="AB9" i="22" s="1"/>
  <c r="AB17" i="22" s="1"/>
  <c r="AL63" i="5" s="1"/>
  <c r="AB8" i="22"/>
  <c r="AB16" i="22" s="1"/>
  <c r="AL62" i="5" s="1"/>
  <c r="T29" i="5"/>
  <c r="J12" i="22" s="1"/>
  <c r="J46" i="8"/>
  <c r="J68" i="8" s="1"/>
  <c r="T88" i="5" s="1"/>
  <c r="I54" i="8"/>
  <c r="S74" i="5" s="1"/>
  <c r="I56" i="8"/>
  <c r="S76" i="5" s="1"/>
  <c r="I53" i="8"/>
  <c r="S73" i="5" s="1"/>
  <c r="I52" i="8"/>
  <c r="S72" i="5" s="1"/>
  <c r="J43" i="8"/>
  <c r="J55" i="8" s="1"/>
  <c r="T75" i="5" s="1"/>
  <c r="T25" i="5"/>
  <c r="J9" i="22" s="1"/>
  <c r="J17" i="22" s="1"/>
  <c r="T63" i="5" s="1"/>
  <c r="U24" i="5"/>
  <c r="S36" i="5"/>
  <c r="T30" i="5"/>
  <c r="S40" i="5"/>
  <c r="T34" i="5"/>
  <c r="Y47" i="5"/>
  <c r="X56" i="5"/>
  <c r="AM24" i="5"/>
  <c r="AB43" i="8"/>
  <c r="AB55" i="8" s="1"/>
  <c r="AL75" i="5" s="1"/>
  <c r="AL34" i="5"/>
  <c r="AA67" i="8"/>
  <c r="AK87" i="5" s="1"/>
  <c r="AA65" i="8"/>
  <c r="AK85" i="5" s="1"/>
  <c r="AA66" i="8"/>
  <c r="AK86" i="5" s="1"/>
  <c r="AA69" i="8"/>
  <c r="AK89" i="5" s="1"/>
  <c r="AM28" i="5"/>
  <c r="AB46" i="8"/>
  <c r="AB68" i="8" s="1"/>
  <c r="AL88" i="5" s="1"/>
  <c r="AL38" i="5"/>
  <c r="AA56" i="8"/>
  <c r="AK76" i="5" s="1"/>
  <c r="AA54" i="8"/>
  <c r="AK74" i="5" s="1"/>
  <c r="AA52" i="8"/>
  <c r="AK72" i="5" s="1"/>
  <c r="AA53" i="8"/>
  <c r="AK73" i="5" s="1"/>
  <c r="I137" i="5" l="1"/>
  <c r="U49" i="5"/>
  <c r="T58" i="5"/>
  <c r="V48" i="5"/>
  <c r="U57" i="5"/>
  <c r="AK66" i="5"/>
  <c r="AK105" i="5" s="1"/>
  <c r="J162" i="5" s="1"/>
  <c r="U38" i="5"/>
  <c r="K19" i="22"/>
  <c r="U64" i="5" s="1"/>
  <c r="AB19" i="22"/>
  <c r="AL64" i="5" s="1"/>
  <c r="J20" i="22"/>
  <c r="T65" i="5" s="1"/>
  <c r="T66" i="5" s="1"/>
  <c r="T105" i="5" s="1"/>
  <c r="J145" i="5" s="1"/>
  <c r="AB20" i="22"/>
  <c r="AL65" i="5" s="1"/>
  <c r="V28" i="5"/>
  <c r="L11" i="22" s="1"/>
  <c r="U29" i="5"/>
  <c r="K12" i="22" s="1"/>
  <c r="J66" i="8"/>
  <c r="T86" i="5" s="1"/>
  <c r="K46" i="8"/>
  <c r="K68" i="8" s="1"/>
  <c r="U88" i="5" s="1"/>
  <c r="AM29" i="5"/>
  <c r="AC12" i="22" s="1"/>
  <c r="AC11" i="22"/>
  <c r="J67" i="8"/>
  <c r="T87" i="5" s="1"/>
  <c r="U34" i="5"/>
  <c r="K8" i="22"/>
  <c r="K16" i="22" s="1"/>
  <c r="U62" i="5" s="1"/>
  <c r="AM25" i="5"/>
  <c r="AC9" i="22" s="1"/>
  <c r="AC17" i="22" s="1"/>
  <c r="AM63" i="5" s="1"/>
  <c r="AC8" i="22"/>
  <c r="AC16" i="22" s="1"/>
  <c r="AM62" i="5" s="1"/>
  <c r="J65" i="8"/>
  <c r="T85" i="5" s="1"/>
  <c r="J69" i="8"/>
  <c r="T89" i="5" s="1"/>
  <c r="J53" i="8"/>
  <c r="T73" i="5" s="1"/>
  <c r="J56" i="8"/>
  <c r="T76" i="5" s="1"/>
  <c r="J54" i="8"/>
  <c r="T74" i="5" s="1"/>
  <c r="J52" i="8"/>
  <c r="T72" i="5" s="1"/>
  <c r="K43" i="8"/>
  <c r="K53" i="8" s="1"/>
  <c r="U73" i="5" s="1"/>
  <c r="U25" i="5"/>
  <c r="K9" i="22" s="1"/>
  <c r="K17" i="22" s="1"/>
  <c r="U63" i="5" s="1"/>
  <c r="V24" i="5"/>
  <c r="U30" i="5"/>
  <c r="T40" i="5"/>
  <c r="T36" i="5"/>
  <c r="Z47" i="5"/>
  <c r="Y56" i="5"/>
  <c r="T59" i="5"/>
  <c r="T104" i="5" s="1"/>
  <c r="I145" i="5" s="1"/>
  <c r="AB65" i="8"/>
  <c r="AL85" i="5" s="1"/>
  <c r="AB66" i="8"/>
  <c r="AL86" i="5" s="1"/>
  <c r="AB69" i="8"/>
  <c r="AL89" i="5" s="1"/>
  <c r="AB67" i="8"/>
  <c r="AL87" i="5" s="1"/>
  <c r="AN28" i="5"/>
  <c r="AC46" i="8"/>
  <c r="AC68" i="8" s="1"/>
  <c r="AM88" i="5" s="1"/>
  <c r="AM38" i="5"/>
  <c r="AB54" i="8"/>
  <c r="AL74" i="5" s="1"/>
  <c r="AB52" i="8"/>
  <c r="AL72" i="5" s="1"/>
  <c r="AB53" i="8"/>
  <c r="AL73" i="5" s="1"/>
  <c r="AB56" i="8"/>
  <c r="AL76" i="5" s="1"/>
  <c r="AN24" i="5"/>
  <c r="AC43" i="8"/>
  <c r="AC55" i="8" s="1"/>
  <c r="AM75" i="5" s="1"/>
  <c r="AM34" i="5"/>
  <c r="W48" i="5" l="1"/>
  <c r="V57" i="5"/>
  <c r="V49" i="5"/>
  <c r="U58" i="5"/>
  <c r="U59" i="5" s="1"/>
  <c r="U104" i="5" s="1"/>
  <c r="I146" i="5" s="1"/>
  <c r="V38" i="5"/>
  <c r="W28" i="5"/>
  <c r="M11" i="22" s="1"/>
  <c r="M19" i="22" s="1"/>
  <c r="W64" i="5" s="1"/>
  <c r="V29" i="5"/>
  <c r="L12" i="22" s="1"/>
  <c r="L20" i="22" s="1"/>
  <c r="V65" i="5" s="1"/>
  <c r="L46" i="8"/>
  <c r="L68" i="8" s="1"/>
  <c r="V88" i="5" s="1"/>
  <c r="AL66" i="5"/>
  <c r="AL105" i="5" s="1"/>
  <c r="J163" i="5" s="1"/>
  <c r="AC20" i="22"/>
  <c r="AM65" i="5" s="1"/>
  <c r="L19" i="22"/>
  <c r="V64" i="5" s="1"/>
  <c r="AC19" i="22"/>
  <c r="AM64" i="5" s="1"/>
  <c r="K20" i="22"/>
  <c r="U65" i="5" s="1"/>
  <c r="U66" i="5" s="1"/>
  <c r="U105" i="5" s="1"/>
  <c r="J146" i="5" s="1"/>
  <c r="K69" i="8"/>
  <c r="U89" i="5" s="1"/>
  <c r="K66" i="8"/>
  <c r="U86" i="5" s="1"/>
  <c r="K65" i="8"/>
  <c r="U85" i="5" s="1"/>
  <c r="K67" i="8"/>
  <c r="U87" i="5" s="1"/>
  <c r="V34" i="5"/>
  <c r="L8" i="22"/>
  <c r="L16" i="22" s="1"/>
  <c r="V62" i="5" s="1"/>
  <c r="AN29" i="5"/>
  <c r="AD12" i="22" s="1"/>
  <c r="AD11" i="22"/>
  <c r="AN25" i="5"/>
  <c r="AD9" i="22" s="1"/>
  <c r="AD17" i="22" s="1"/>
  <c r="AN63" i="5" s="1"/>
  <c r="AD8" i="22"/>
  <c r="AD16" i="22" s="1"/>
  <c r="AN62" i="5" s="1"/>
  <c r="K54" i="8"/>
  <c r="U74" i="5" s="1"/>
  <c r="K52" i="8"/>
  <c r="U72" i="5" s="1"/>
  <c r="L43" i="8"/>
  <c r="V25" i="5"/>
  <c r="L9" i="22" s="1"/>
  <c r="L17" i="22" s="1"/>
  <c r="V63" i="5" s="1"/>
  <c r="W24" i="5"/>
  <c r="K55" i="8"/>
  <c r="U75" i="5" s="1"/>
  <c r="K56" i="8"/>
  <c r="U76" i="5" s="1"/>
  <c r="U36" i="5"/>
  <c r="V30" i="5"/>
  <c r="U40" i="5"/>
  <c r="AA47" i="5"/>
  <c r="Z56" i="5"/>
  <c r="AC65" i="8"/>
  <c r="AM85" i="5" s="1"/>
  <c r="AC66" i="8"/>
  <c r="AM86" i="5" s="1"/>
  <c r="AC69" i="8"/>
  <c r="AM89" i="5" s="1"/>
  <c r="AC67" i="8"/>
  <c r="AM87" i="5" s="1"/>
  <c r="AO28" i="5"/>
  <c r="AD46" i="8"/>
  <c r="AD68" i="8" s="1"/>
  <c r="AN88" i="5" s="1"/>
  <c r="AN38" i="5"/>
  <c r="AC54" i="8"/>
  <c r="AM74" i="5" s="1"/>
  <c r="AC52" i="8"/>
  <c r="AM72" i="5" s="1"/>
  <c r="AC53" i="8"/>
  <c r="AM73" i="5" s="1"/>
  <c r="AC56" i="8"/>
  <c r="AM76" i="5" s="1"/>
  <c r="AO24" i="5"/>
  <c r="AD43" i="8"/>
  <c r="AD55" i="8" s="1"/>
  <c r="AN75" i="5" s="1"/>
  <c r="AN34" i="5"/>
  <c r="X48" i="5" l="1"/>
  <c r="W57" i="5"/>
  <c r="V58" i="5"/>
  <c r="V59" i="5" s="1"/>
  <c r="V104" i="5" s="1"/>
  <c r="W49" i="5"/>
  <c r="L69" i="8"/>
  <c r="V89" i="5" s="1"/>
  <c r="L66" i="8"/>
  <c r="V86" i="5" s="1"/>
  <c r="L67" i="8"/>
  <c r="V87" i="5" s="1"/>
  <c r="L65" i="8"/>
  <c r="V85" i="5" s="1"/>
  <c r="W29" i="5"/>
  <c r="M12" i="22" s="1"/>
  <c r="M20" i="22" s="1"/>
  <c r="W65" i="5" s="1"/>
  <c r="X28" i="5"/>
  <c r="N11" i="22" s="1"/>
  <c r="N19" i="22" s="1"/>
  <c r="X64" i="5" s="1"/>
  <c r="M46" i="8"/>
  <c r="M68" i="8" s="1"/>
  <c r="W88" i="5" s="1"/>
  <c r="W38" i="5"/>
  <c r="AM66" i="5"/>
  <c r="AM105" i="5" s="1"/>
  <c r="J164" i="5" s="1"/>
  <c r="V66" i="5"/>
  <c r="V105" i="5" s="1"/>
  <c r="J147" i="5" s="1"/>
  <c r="AD19" i="22"/>
  <c r="AN64" i="5" s="1"/>
  <c r="AD20" i="22"/>
  <c r="AN65" i="5" s="1"/>
  <c r="X24" i="5"/>
  <c r="N8" i="22" s="1"/>
  <c r="N16" i="22" s="1"/>
  <c r="X62" i="5" s="1"/>
  <c r="M8" i="22"/>
  <c r="M16" i="22" s="1"/>
  <c r="W62" i="5" s="1"/>
  <c r="AO29" i="5"/>
  <c r="AE12" i="22" s="1"/>
  <c r="AE11" i="22"/>
  <c r="AO25" i="5"/>
  <c r="AE9" i="22" s="1"/>
  <c r="AE17" i="22" s="1"/>
  <c r="AO63" i="5" s="1"/>
  <c r="AE8" i="22"/>
  <c r="AE16" i="22" s="1"/>
  <c r="AO62" i="5" s="1"/>
  <c r="W34" i="5"/>
  <c r="M43" i="8"/>
  <c r="W25" i="5"/>
  <c r="M9" i="22" s="1"/>
  <c r="M17" i="22" s="1"/>
  <c r="W63" i="5" s="1"/>
  <c r="L55" i="8"/>
  <c r="V75" i="5" s="1"/>
  <c r="L54" i="8"/>
  <c r="V74" i="5" s="1"/>
  <c r="L52" i="8"/>
  <c r="V72" i="5" s="1"/>
  <c r="L53" i="8"/>
  <c r="V73" i="5" s="1"/>
  <c r="L56" i="8"/>
  <c r="V76" i="5" s="1"/>
  <c r="W30" i="5"/>
  <c r="V40" i="5"/>
  <c r="V36" i="5"/>
  <c r="AB47" i="5"/>
  <c r="AA56" i="5"/>
  <c r="AD66" i="8"/>
  <c r="AN86" i="5" s="1"/>
  <c r="AD69" i="8"/>
  <c r="AN89" i="5" s="1"/>
  <c r="AD67" i="8"/>
  <c r="AN87" i="5" s="1"/>
  <c r="AD65" i="8"/>
  <c r="AN85" i="5" s="1"/>
  <c r="AD52" i="8"/>
  <c r="AN72" i="5" s="1"/>
  <c r="AD53" i="8"/>
  <c r="AN73" i="5" s="1"/>
  <c r="AD56" i="8"/>
  <c r="AN76" i="5" s="1"/>
  <c r="AD54" i="8"/>
  <c r="AN74" i="5" s="1"/>
  <c r="AE46" i="8"/>
  <c r="AE68" i="8" s="1"/>
  <c r="AO88" i="5" s="1"/>
  <c r="AO38" i="5"/>
  <c r="AE43" i="8"/>
  <c r="AE55" i="8" s="1"/>
  <c r="AO75" i="5" s="1"/>
  <c r="AO34" i="5"/>
  <c r="I147" i="5" l="1"/>
  <c r="X49" i="5"/>
  <c r="W58" i="5"/>
  <c r="W59" i="5" s="1"/>
  <c r="W104" i="5" s="1"/>
  <c r="I148" i="5" s="1"/>
  <c r="Y48" i="5"/>
  <c r="X57" i="5"/>
  <c r="M67" i="8"/>
  <c r="W87" i="5" s="1"/>
  <c r="M65" i="8"/>
  <c r="W85" i="5" s="1"/>
  <c r="M69" i="8"/>
  <c r="W89" i="5" s="1"/>
  <c r="X29" i="5"/>
  <c r="N12" i="22" s="1"/>
  <c r="N20" i="22" s="1"/>
  <c r="X65" i="5" s="1"/>
  <c r="Y28" i="5"/>
  <c r="O11" i="22" s="1"/>
  <c r="O19" i="22" s="1"/>
  <c r="Y64" i="5" s="1"/>
  <c r="N46" i="8"/>
  <c r="N68" i="8" s="1"/>
  <c r="X88" i="5" s="1"/>
  <c r="X38" i="5"/>
  <c r="M66" i="8"/>
  <c r="W86" i="5" s="1"/>
  <c r="AN66" i="5"/>
  <c r="AN105" i="5" s="1"/>
  <c r="J165" i="5" s="1"/>
  <c r="AE19" i="22"/>
  <c r="AO64" i="5" s="1"/>
  <c r="AE20" i="22"/>
  <c r="AO65" i="5" s="1"/>
  <c r="W66" i="5"/>
  <c r="W105" i="5" s="1"/>
  <c r="J148" i="5" s="1"/>
  <c r="N43" i="8"/>
  <c r="N55" i="8" s="1"/>
  <c r="X75" i="5" s="1"/>
  <c r="X25" i="5"/>
  <c r="N9" i="22" s="1"/>
  <c r="N17" i="22" s="1"/>
  <c r="X63" i="5" s="1"/>
  <c r="AF9" i="22"/>
  <c r="AF17" i="22" s="1"/>
  <c r="AF8" i="22"/>
  <c r="AF16" i="22" s="1"/>
  <c r="AF12" i="22"/>
  <c r="AF11" i="22"/>
  <c r="X34" i="5"/>
  <c r="Y24" i="5"/>
  <c r="O8" i="22" s="1"/>
  <c r="O16" i="22" s="1"/>
  <c r="Y62" i="5" s="1"/>
  <c r="O46" i="8"/>
  <c r="O68" i="8" s="1"/>
  <c r="Y88" i="5" s="1"/>
  <c r="M55" i="8"/>
  <c r="W75" i="5" s="1"/>
  <c r="M56" i="8"/>
  <c r="W76" i="5" s="1"/>
  <c r="M54" i="8"/>
  <c r="W74" i="5" s="1"/>
  <c r="M52" i="8"/>
  <c r="W72" i="5" s="1"/>
  <c r="M53" i="8"/>
  <c r="W73" i="5" s="1"/>
  <c r="W40" i="5"/>
  <c r="X30" i="5"/>
  <c r="W36" i="5"/>
  <c r="AC47" i="5"/>
  <c r="AC56" i="5" s="1"/>
  <c r="AB56" i="5"/>
  <c r="AE52" i="8"/>
  <c r="AO72" i="5" s="1"/>
  <c r="AE53" i="8"/>
  <c r="AO73" i="5" s="1"/>
  <c r="AE56" i="8"/>
  <c r="AO76" i="5" s="1"/>
  <c r="AE54" i="8"/>
  <c r="AO74" i="5" s="1"/>
  <c r="AE66" i="8"/>
  <c r="AO86" i="5" s="1"/>
  <c r="AE69" i="8"/>
  <c r="AO89" i="5" s="1"/>
  <c r="AE67" i="8"/>
  <c r="AO87" i="5" s="1"/>
  <c r="AE65" i="8"/>
  <c r="AO85" i="5" s="1"/>
  <c r="AF43" i="8"/>
  <c r="AF55" i="8" s="1"/>
  <c r="AF46" i="8"/>
  <c r="AF68" i="8" s="1"/>
  <c r="Y38" i="5" l="1"/>
  <c r="Y29" i="5"/>
  <c r="O12" i="22" s="1"/>
  <c r="C56" i="5"/>
  <c r="Z48" i="5"/>
  <c r="Y57" i="5"/>
  <c r="Y49" i="5"/>
  <c r="X58" i="5"/>
  <c r="X59" i="5" s="1"/>
  <c r="X104" i="5" s="1"/>
  <c r="Z28" i="5"/>
  <c r="P11" i="22" s="1"/>
  <c r="P19" i="22" s="1"/>
  <c r="Z64" i="5" s="1"/>
  <c r="N69" i="8"/>
  <c r="X89" i="5" s="1"/>
  <c r="N66" i="8"/>
  <c r="X86" i="5" s="1"/>
  <c r="N65" i="8"/>
  <c r="X85" i="5" s="1"/>
  <c r="N67" i="8"/>
  <c r="X87" i="5" s="1"/>
  <c r="AO66" i="5"/>
  <c r="AO105" i="5" s="1"/>
  <c r="J166" i="5" s="1"/>
  <c r="AF20" i="22"/>
  <c r="O20" i="22"/>
  <c r="Y65" i="5" s="1"/>
  <c r="AF19" i="22"/>
  <c r="X66" i="5"/>
  <c r="X105" i="5" s="1"/>
  <c r="J149" i="5" s="1"/>
  <c r="N54" i="8"/>
  <c r="X74" i="5" s="1"/>
  <c r="N53" i="8"/>
  <c r="X73" i="5" s="1"/>
  <c r="N52" i="8"/>
  <c r="X72" i="5" s="1"/>
  <c r="Y34" i="5"/>
  <c r="N56" i="8"/>
  <c r="X76" i="5" s="1"/>
  <c r="O43" i="8"/>
  <c r="O55" i="8" s="1"/>
  <c r="Y75" i="5" s="1"/>
  <c r="Y25" i="5"/>
  <c r="O9" i="22" s="1"/>
  <c r="O17" i="22" s="1"/>
  <c r="Y63" i="5" s="1"/>
  <c r="Z24" i="5"/>
  <c r="P8" i="22" s="1"/>
  <c r="P16" i="22" s="1"/>
  <c r="Z62" i="5" s="1"/>
  <c r="O65" i="8"/>
  <c r="Y85" i="5" s="1"/>
  <c r="O66" i="8"/>
  <c r="Y86" i="5" s="1"/>
  <c r="O69" i="8"/>
  <c r="Y89" i="5" s="1"/>
  <c r="O67" i="8"/>
  <c r="Y87" i="5" s="1"/>
  <c r="X36" i="5"/>
  <c r="Y30" i="5"/>
  <c r="X40" i="5"/>
  <c r="AF53" i="8"/>
  <c r="AF56" i="8"/>
  <c r="AF54" i="8"/>
  <c r="AF52" i="8"/>
  <c r="AF66" i="8"/>
  <c r="AF69" i="8"/>
  <c r="AF67" i="8"/>
  <c r="AF65" i="8"/>
  <c r="I149" i="5" l="1"/>
  <c r="AA48" i="5"/>
  <c r="Z57" i="5"/>
  <c r="Y58" i="5"/>
  <c r="Y59" i="5" s="1"/>
  <c r="Y104" i="5" s="1"/>
  <c r="I150" i="5" s="1"/>
  <c r="Z49" i="5"/>
  <c r="AA28" i="5"/>
  <c r="Q11" i="22" s="1"/>
  <c r="Q19" i="22" s="1"/>
  <c r="AA64" i="5" s="1"/>
  <c r="Z38" i="5"/>
  <c r="P46" i="8"/>
  <c r="P68" i="8" s="1"/>
  <c r="Z88" i="5" s="1"/>
  <c r="Z29" i="5"/>
  <c r="P12" i="22" s="1"/>
  <c r="P20" i="22" s="1"/>
  <c r="Z65" i="5" s="1"/>
  <c r="Z34" i="5"/>
  <c r="Y66" i="5"/>
  <c r="Y105" i="5" s="1"/>
  <c r="J150" i="5" s="1"/>
  <c r="Z25" i="5"/>
  <c r="P9" i="22" s="1"/>
  <c r="P17" i="22" s="1"/>
  <c r="Z63" i="5" s="1"/>
  <c r="P43" i="8"/>
  <c r="P55" i="8" s="1"/>
  <c r="Z75" i="5" s="1"/>
  <c r="AA24" i="5"/>
  <c r="Q8" i="22" s="1"/>
  <c r="Q16" i="22" s="1"/>
  <c r="AA62" i="5" s="1"/>
  <c r="O54" i="8"/>
  <c r="Y74" i="5" s="1"/>
  <c r="O56" i="8"/>
  <c r="Y76" i="5" s="1"/>
  <c r="O52" i="8"/>
  <c r="Y72" i="5" s="1"/>
  <c r="O53" i="8"/>
  <c r="Y73" i="5" s="1"/>
  <c r="Y40" i="5"/>
  <c r="Z30" i="5"/>
  <c r="Y36" i="5"/>
  <c r="AB28" i="5" l="1"/>
  <c r="R11" i="22" s="1"/>
  <c r="AA29" i="5"/>
  <c r="Q12" i="22" s="1"/>
  <c r="Q46" i="8"/>
  <c r="Q68" i="8" s="1"/>
  <c r="AA88" i="5" s="1"/>
  <c r="P65" i="8"/>
  <c r="Z85" i="5" s="1"/>
  <c r="AA38" i="5"/>
  <c r="P67" i="8"/>
  <c r="Z87" i="5" s="1"/>
  <c r="P69" i="8"/>
  <c r="Z89" i="5" s="1"/>
  <c r="P66" i="8"/>
  <c r="Z86" i="5" s="1"/>
  <c r="Z58" i="5"/>
  <c r="Z59" i="5" s="1"/>
  <c r="Z104" i="5" s="1"/>
  <c r="I151" i="5" s="1"/>
  <c r="AA49" i="5"/>
  <c r="AB48" i="5"/>
  <c r="AA57" i="5"/>
  <c r="Z66" i="5"/>
  <c r="Z105" i="5" s="1"/>
  <c r="J151" i="5" s="1"/>
  <c r="R19" i="22"/>
  <c r="AB64" i="5" s="1"/>
  <c r="Q20" i="22"/>
  <c r="AA65" i="5" s="1"/>
  <c r="P52" i="8"/>
  <c r="Z72" i="5" s="1"/>
  <c r="P53" i="8"/>
  <c r="Z73" i="5" s="1"/>
  <c r="AA34" i="5"/>
  <c r="AA25" i="5"/>
  <c r="Q9" i="22" s="1"/>
  <c r="Q17" i="22" s="1"/>
  <c r="AA63" i="5" s="1"/>
  <c r="AB24" i="5"/>
  <c r="R8" i="22" s="1"/>
  <c r="R16" i="22" s="1"/>
  <c r="AB62" i="5" s="1"/>
  <c r="Q43" i="8"/>
  <c r="Q55" i="8" s="1"/>
  <c r="AA75" i="5" s="1"/>
  <c r="P56" i="8"/>
  <c r="Z76" i="5" s="1"/>
  <c r="P54" i="8"/>
  <c r="Z74" i="5" s="1"/>
  <c r="Q65" i="8"/>
  <c r="AA85" i="5" s="1"/>
  <c r="R46" i="8"/>
  <c r="R68" i="8" s="1"/>
  <c r="AB88" i="5" s="1"/>
  <c r="Z36" i="5"/>
  <c r="AA30" i="5"/>
  <c r="Z40" i="5"/>
  <c r="AB38" i="5"/>
  <c r="AC28" i="5"/>
  <c r="S11" i="22" s="1"/>
  <c r="AB29" i="5" l="1"/>
  <c r="R12" i="22" s="1"/>
  <c r="R20" i="22" s="1"/>
  <c r="AB65" i="5" s="1"/>
  <c r="Q69" i="8"/>
  <c r="AA89" i="5" s="1"/>
  <c r="Q66" i="8"/>
  <c r="AA86" i="5" s="1"/>
  <c r="Q56" i="8"/>
  <c r="AA76" i="5" s="1"/>
  <c r="Q67" i="8"/>
  <c r="AA87" i="5" s="1"/>
  <c r="Q54" i="8"/>
  <c r="AA74" i="5" s="1"/>
  <c r="AC48" i="5"/>
  <c r="AC57" i="5" s="1"/>
  <c r="AB57" i="5"/>
  <c r="AB49" i="5"/>
  <c r="AA58" i="5"/>
  <c r="AA59" i="5" s="1"/>
  <c r="AA104" i="5" s="1"/>
  <c r="I152" i="5" s="1"/>
  <c r="R43" i="8"/>
  <c r="R55" i="8" s="1"/>
  <c r="AB75" i="5" s="1"/>
  <c r="AB34" i="5"/>
  <c r="AB25" i="5"/>
  <c r="R9" i="22" s="1"/>
  <c r="R17" i="22" s="1"/>
  <c r="AB63" i="5" s="1"/>
  <c r="S19" i="22"/>
  <c r="AC64" i="5" s="1"/>
  <c r="C64" i="5" s="1"/>
  <c r="AA66" i="5"/>
  <c r="AA105" i="5" s="1"/>
  <c r="J152" i="5" s="1"/>
  <c r="Q53" i="8"/>
  <c r="AA73" i="5" s="1"/>
  <c r="AC24" i="5"/>
  <c r="S8" i="22" s="1"/>
  <c r="S16" i="22" s="1"/>
  <c r="AC62" i="5" s="1"/>
  <c r="C62" i="5" s="1"/>
  <c r="Q52" i="8"/>
  <c r="AA72" i="5" s="1"/>
  <c r="R67" i="8"/>
  <c r="AB87" i="5" s="1"/>
  <c r="AC38" i="5"/>
  <c r="C38" i="5" s="1"/>
  <c r="AC29" i="5"/>
  <c r="S12" i="22" s="1"/>
  <c r="R65" i="8"/>
  <c r="AB85" i="5" s="1"/>
  <c r="R66" i="8"/>
  <c r="AB86" i="5" s="1"/>
  <c r="R69" i="8"/>
  <c r="AB89" i="5" s="1"/>
  <c r="AB30" i="5"/>
  <c r="AA40" i="5"/>
  <c r="AA36" i="5"/>
  <c r="S46" i="8"/>
  <c r="S68" i="8" s="1"/>
  <c r="AC88" i="5" s="1"/>
  <c r="C88" i="5" s="1"/>
  <c r="C57" i="5" l="1"/>
  <c r="AC49" i="5"/>
  <c r="AC58" i="5" s="1"/>
  <c r="AB58" i="5"/>
  <c r="R53" i="8"/>
  <c r="AB73" i="5" s="1"/>
  <c r="R56" i="8"/>
  <c r="AB76" i="5" s="1"/>
  <c r="R54" i="8"/>
  <c r="AB74" i="5" s="1"/>
  <c r="R52" i="8"/>
  <c r="AB72" i="5" s="1"/>
  <c r="AB66" i="5"/>
  <c r="AB105" i="5" s="1"/>
  <c r="J153" i="5" s="1"/>
  <c r="S43" i="8"/>
  <c r="S55" i="8" s="1"/>
  <c r="AC75" i="5" s="1"/>
  <c r="C75" i="5" s="1"/>
  <c r="AC34" i="5"/>
  <c r="C34" i="5" s="1"/>
  <c r="AC25" i="5"/>
  <c r="S9" i="22" s="1"/>
  <c r="S17" i="22" s="1"/>
  <c r="AC63" i="5" s="1"/>
  <c r="C63" i="5" s="1"/>
  <c r="S20" i="22"/>
  <c r="AC65" i="5" s="1"/>
  <c r="C65" i="5" s="1"/>
  <c r="AC36" i="5"/>
  <c r="AB36" i="5"/>
  <c r="AB40" i="5"/>
  <c r="AC30" i="5"/>
  <c r="AC40" i="5" s="1"/>
  <c r="S69" i="8"/>
  <c r="AC89" i="5" s="1"/>
  <c r="C89" i="5" s="1"/>
  <c r="S66" i="8"/>
  <c r="AC86" i="5" s="1"/>
  <c r="C86" i="5" s="1"/>
  <c r="S65" i="8"/>
  <c r="AC85" i="5" s="1"/>
  <c r="C85" i="5" s="1"/>
  <c r="S67" i="8"/>
  <c r="AC87" i="5" s="1"/>
  <c r="C87" i="5" s="1"/>
  <c r="C58" i="5" l="1"/>
  <c r="AB59" i="5"/>
  <c r="AB104" i="5" s="1"/>
  <c r="I153" i="5" s="1"/>
  <c r="C36" i="5"/>
  <c r="C40" i="5"/>
  <c r="S53" i="8"/>
  <c r="AC73" i="5" s="1"/>
  <c r="C73" i="5" s="1"/>
  <c r="S56" i="8"/>
  <c r="AC76" i="5" s="1"/>
  <c r="C76" i="5" s="1"/>
  <c r="S52" i="8"/>
  <c r="AC72" i="5" s="1"/>
  <c r="C72" i="5" s="1"/>
  <c r="S54" i="8"/>
  <c r="AC74" i="5" s="1"/>
  <c r="C74" i="5" s="1"/>
  <c r="AC66" i="5"/>
  <c r="AC59" i="5"/>
  <c r="AC104" i="5" s="1"/>
  <c r="I154" i="5" s="1"/>
  <c r="C66" i="5" l="1"/>
  <c r="AC105" i="5"/>
  <c r="AD59" i="5"/>
  <c r="AD104" i="5" s="1"/>
  <c r="I155" i="5" s="1"/>
  <c r="J154" i="5" l="1"/>
  <c r="C105" i="5"/>
  <c r="AE59" i="5"/>
  <c r="AE104" i="5" s="1"/>
  <c r="I156" i="5" s="1"/>
  <c r="AF59" i="5" l="1"/>
  <c r="AF104" i="5" s="1"/>
  <c r="I157" i="5" s="1"/>
  <c r="AG59" i="5" l="1"/>
  <c r="AG104" i="5" s="1"/>
  <c r="I158" i="5" s="1"/>
  <c r="AH59" i="5" l="1"/>
  <c r="AH104" i="5" s="1"/>
  <c r="I159" i="5" s="1"/>
  <c r="AI59" i="5" l="1"/>
  <c r="AI104" i="5" s="1"/>
  <c r="I160" i="5" s="1"/>
  <c r="I9" i="5"/>
  <c r="I10" i="5" s="1"/>
  <c r="I15" i="5" l="1"/>
  <c r="I110" i="5" s="1"/>
  <c r="C110" i="5" s="1"/>
  <c r="C10" i="5"/>
  <c r="C9" i="5"/>
  <c r="C15" i="5" s="1"/>
  <c r="AO19" i="5"/>
  <c r="C19" i="5" s="1"/>
  <c r="C21" i="5" s="1"/>
  <c r="AJ59" i="5"/>
  <c r="AJ104" i="5" s="1"/>
  <c r="I161" i="5" s="1"/>
  <c r="F8" i="5"/>
  <c r="F10" i="5" s="1"/>
  <c r="F15" i="5" s="1"/>
  <c r="F110" i="5" s="1"/>
  <c r="AO102" i="5" l="1"/>
  <c r="AK59" i="5"/>
  <c r="AK104" i="5" s="1"/>
  <c r="I162" i="5" s="1"/>
  <c r="C102" i="5" l="1"/>
  <c r="G166" i="5"/>
  <c r="AL59" i="5"/>
  <c r="AL104" i="5" s="1"/>
  <c r="I163" i="5" s="1"/>
  <c r="F117" i="5"/>
  <c r="AM59" i="5" l="1"/>
  <c r="AM104" i="5" s="1"/>
  <c r="I164" i="5" s="1"/>
  <c r="AN59" i="5" l="1"/>
  <c r="AN104" i="5" s="1"/>
  <c r="I165" i="5" s="1"/>
  <c r="H117" i="5"/>
  <c r="J117" i="5"/>
  <c r="G117" i="5"/>
  <c r="I117" i="5"/>
  <c r="AO59" i="5" l="1"/>
  <c r="C59" i="5" l="1"/>
  <c r="AO104" i="5"/>
  <c r="C104" i="5" l="1"/>
  <c r="I166" i="5"/>
  <c r="A126" i="5"/>
  <c r="A125" i="5"/>
  <c r="A124" i="5"/>
  <c r="N4" i="5"/>
  <c r="O4" i="5" s="1"/>
  <c r="P4" i="5" s="1"/>
  <c r="Q4" i="5" s="1"/>
  <c r="R4" i="5" s="1"/>
  <c r="S4" i="5" s="1"/>
  <c r="T4" i="5" s="1"/>
  <c r="U4" i="5" s="1"/>
  <c r="V4" i="5" s="1"/>
  <c r="W4" i="5" s="1"/>
  <c r="X4" i="5" s="1"/>
  <c r="Y4" i="5" s="1"/>
  <c r="Z4" i="5" s="1"/>
  <c r="AA4" i="5" s="1"/>
  <c r="AB4" i="5" s="1"/>
  <c r="AC4" i="5" s="1"/>
  <c r="AD4" i="5" s="1"/>
  <c r="AE4" i="5" s="1"/>
  <c r="AF4" i="5" s="1"/>
  <c r="AG4" i="5" s="1"/>
  <c r="AH4" i="5" s="1"/>
  <c r="AI4" i="5" s="1"/>
  <c r="AJ4" i="5" s="1"/>
  <c r="AK4" i="5" s="1"/>
  <c r="AL4" i="5" s="1"/>
  <c r="AM4" i="5" s="1"/>
  <c r="AN4" i="5" s="1"/>
  <c r="AO4" i="5" s="1"/>
  <c r="K117" i="5" l="1"/>
  <c r="C127" i="5" l="1"/>
  <c r="L117" i="5" l="1"/>
  <c r="C132" i="5"/>
  <c r="N128" i="5" l="1"/>
  <c r="P128" i="5" l="1"/>
  <c r="O128" i="5"/>
  <c r="N125" i="5"/>
  <c r="Q128" i="5" l="1"/>
  <c r="N126" i="5"/>
  <c r="O126" i="5"/>
  <c r="O125" i="5" l="1"/>
  <c r="P126" i="5"/>
  <c r="P125" i="5"/>
  <c r="S128" i="5" l="1"/>
  <c r="R128" i="5"/>
  <c r="Q126" i="5"/>
  <c r="T128" i="5" l="1"/>
  <c r="Q125" i="5"/>
  <c r="R126" i="5"/>
  <c r="R125" i="5"/>
  <c r="U128" i="5" l="1"/>
  <c r="S125" i="5"/>
  <c r="S126" i="5"/>
  <c r="T126" i="5" l="1"/>
  <c r="T125" i="5"/>
  <c r="V128" i="5" l="1"/>
  <c r="U125" i="5"/>
  <c r="U126" i="5"/>
  <c r="W128" i="5" l="1"/>
  <c r="V126" i="5"/>
  <c r="V125" i="5"/>
  <c r="X128" i="5" l="1"/>
  <c r="W125" i="5"/>
  <c r="W126" i="5"/>
  <c r="Y128" i="5" l="1"/>
  <c r="X125" i="5"/>
  <c r="X126" i="5"/>
  <c r="Z128" i="5" l="1"/>
  <c r="Y125" i="5"/>
  <c r="Y126" i="5"/>
  <c r="AB128" i="5" l="1"/>
  <c r="C128" i="5" s="1"/>
  <c r="AA128" i="5"/>
  <c r="Z126" i="5"/>
  <c r="Z125" i="5"/>
  <c r="AA125" i="5" l="1"/>
  <c r="AA126" i="5"/>
  <c r="AC128" i="5" l="1"/>
  <c r="AD128" i="5" l="1"/>
  <c r="AC126" i="5"/>
  <c r="AC125" i="5"/>
  <c r="AB126" i="5"/>
  <c r="C126" i="5" s="1"/>
  <c r="AB125" i="5"/>
  <c r="C125" i="5" s="1"/>
  <c r="AD125" i="5" l="1"/>
  <c r="AD126" i="5"/>
  <c r="M35" i="5" l="1"/>
  <c r="C44" i="8"/>
  <c r="C58" i="8" s="1"/>
  <c r="M78" i="5" s="1"/>
  <c r="N35" i="5" l="1"/>
  <c r="C61" i="8"/>
  <c r="M81" i="5" s="1"/>
  <c r="C59" i="8"/>
  <c r="M79" i="5" s="1"/>
  <c r="C62" i="8"/>
  <c r="M82" i="5" s="1"/>
  <c r="C60" i="8"/>
  <c r="M80" i="5" s="1"/>
  <c r="D44" i="8"/>
  <c r="M43" i="5"/>
  <c r="M103" i="5" s="1"/>
  <c r="H138" i="5" l="1"/>
  <c r="M97" i="5"/>
  <c r="D47" i="8"/>
  <c r="N39" i="5"/>
  <c r="E44" i="8"/>
  <c r="O35" i="5"/>
  <c r="M98" i="5"/>
  <c r="D60" i="8"/>
  <c r="N80" i="5" s="1"/>
  <c r="D59" i="8"/>
  <c r="N79" i="5" s="1"/>
  <c r="D58" i="8"/>
  <c r="N78" i="5" s="1"/>
  <c r="D61" i="8"/>
  <c r="N81" i="5" s="1"/>
  <c r="D62" i="8"/>
  <c r="N82" i="5" s="1"/>
  <c r="N43" i="5" l="1"/>
  <c r="N103" i="5" s="1"/>
  <c r="D74" i="8"/>
  <c r="N94" i="5" s="1"/>
  <c r="D75" i="8"/>
  <c r="N95" i="5" s="1"/>
  <c r="D71" i="8"/>
  <c r="N91" i="5" s="1"/>
  <c r="D72" i="8"/>
  <c r="N92" i="5" s="1"/>
  <c r="D73" i="8"/>
  <c r="N93" i="5" s="1"/>
  <c r="O39" i="5"/>
  <c r="O43" i="5" s="1"/>
  <c r="O103" i="5" s="1"/>
  <c r="E47" i="8"/>
  <c r="N98" i="5"/>
  <c r="N97" i="5"/>
  <c r="E59" i="8"/>
  <c r="O79" i="5" s="1"/>
  <c r="E61" i="8"/>
  <c r="O81" i="5" s="1"/>
  <c r="E62" i="8"/>
  <c r="O82" i="5" s="1"/>
  <c r="E60" i="8"/>
  <c r="O80" i="5" s="1"/>
  <c r="E58" i="8"/>
  <c r="O78" i="5" s="1"/>
  <c r="P35" i="5"/>
  <c r="F44" i="8"/>
  <c r="M99" i="5"/>
  <c r="M106" i="5" s="1"/>
  <c r="M107" i="5" s="1"/>
  <c r="H140" i="5" l="1"/>
  <c r="M114" i="5"/>
  <c r="M117" i="5" s="1"/>
  <c r="H139" i="5"/>
  <c r="K138" i="5"/>
  <c r="P39" i="5"/>
  <c r="F47" i="8"/>
  <c r="E74" i="8"/>
  <c r="O94" i="5" s="1"/>
  <c r="E75" i="8"/>
  <c r="O95" i="5" s="1"/>
  <c r="E73" i="8"/>
  <c r="O93" i="5" s="1"/>
  <c r="E71" i="8"/>
  <c r="O91" i="5" s="1"/>
  <c r="E72" i="8"/>
  <c r="O92" i="5" s="1"/>
  <c r="G44" i="8"/>
  <c r="Q35" i="5"/>
  <c r="F58" i="8"/>
  <c r="P78" i="5" s="1"/>
  <c r="F61" i="8"/>
  <c r="P81" i="5" s="1"/>
  <c r="F59" i="8"/>
  <c r="P79" i="5" s="1"/>
  <c r="F62" i="8"/>
  <c r="P82" i="5" s="1"/>
  <c r="F60" i="8"/>
  <c r="P80" i="5" s="1"/>
  <c r="N99" i="5"/>
  <c r="N106" i="5" s="1"/>
  <c r="K139" i="5" s="1"/>
  <c r="O97" i="5"/>
  <c r="O98" i="5"/>
  <c r="N107" i="5" l="1"/>
  <c r="P43" i="5"/>
  <c r="P103" i="5" s="1"/>
  <c r="N124" i="5"/>
  <c r="C124" i="5" s="1"/>
  <c r="C130" i="5" s="1"/>
  <c r="Q39" i="5"/>
  <c r="Q43" i="5" s="1"/>
  <c r="G47" i="8"/>
  <c r="F74" i="8"/>
  <c r="P94" i="5" s="1"/>
  <c r="F73" i="8"/>
  <c r="P93" i="5" s="1"/>
  <c r="F75" i="8"/>
  <c r="P95" i="5" s="1"/>
  <c r="F72" i="8"/>
  <c r="P92" i="5" s="1"/>
  <c r="F71" i="8"/>
  <c r="P91" i="5" s="1"/>
  <c r="O99" i="5"/>
  <c r="O106" i="5" s="1"/>
  <c r="H44" i="8"/>
  <c r="R35" i="5"/>
  <c r="G58" i="8"/>
  <c r="Q78" i="5" s="1"/>
  <c r="G59" i="8"/>
  <c r="Q79" i="5" s="1"/>
  <c r="G60" i="8"/>
  <c r="Q80" i="5" s="1"/>
  <c r="G62" i="8"/>
  <c r="Q82" i="5" s="1"/>
  <c r="G61" i="8"/>
  <c r="Q81" i="5" s="1"/>
  <c r="P97" i="5"/>
  <c r="P98" i="5"/>
  <c r="O124" i="5"/>
  <c r="K140" i="5" l="1"/>
  <c r="O107" i="5"/>
  <c r="O114" i="5" s="1"/>
  <c r="N114" i="5"/>
  <c r="O117" i="5" s="1"/>
  <c r="Q103" i="5"/>
  <c r="H141" i="5"/>
  <c r="H47" i="8"/>
  <c r="R39" i="5"/>
  <c r="R43" i="5" s="1"/>
  <c r="R103" i="5" s="1"/>
  <c r="G71" i="8"/>
  <c r="Q91" i="5" s="1"/>
  <c r="G75" i="8"/>
  <c r="Q95" i="5" s="1"/>
  <c r="G73" i="8"/>
  <c r="Q93" i="5" s="1"/>
  <c r="G74" i="8"/>
  <c r="Q94" i="5" s="1"/>
  <c r="G72" i="8"/>
  <c r="Q92" i="5" s="1"/>
  <c r="P99" i="5"/>
  <c r="P106" i="5" s="1"/>
  <c r="K141" i="5" s="1"/>
  <c r="H58" i="8"/>
  <c r="R78" i="5" s="1"/>
  <c r="H61" i="8"/>
  <c r="R81" i="5" s="1"/>
  <c r="H59" i="8"/>
  <c r="R79" i="5" s="1"/>
  <c r="H62" i="8"/>
  <c r="R82" i="5" s="1"/>
  <c r="H60" i="8"/>
  <c r="R80" i="5" s="1"/>
  <c r="S35" i="5"/>
  <c r="I44" i="8"/>
  <c r="Q97" i="5"/>
  <c r="Q98" i="5"/>
  <c r="H142" i="5" l="1"/>
  <c r="H143" i="5"/>
  <c r="N117" i="5"/>
  <c r="P107" i="5"/>
  <c r="Q124" i="5"/>
  <c r="P124" i="5"/>
  <c r="S39" i="5"/>
  <c r="S43" i="5" s="1"/>
  <c r="S103" i="5" s="1"/>
  <c r="I47" i="8"/>
  <c r="H72" i="8"/>
  <c r="R92" i="5" s="1"/>
  <c r="H71" i="8"/>
  <c r="R91" i="5" s="1"/>
  <c r="H75" i="8"/>
  <c r="R95" i="5" s="1"/>
  <c r="H73" i="8"/>
  <c r="R93" i="5" s="1"/>
  <c r="H74" i="8"/>
  <c r="R94" i="5" s="1"/>
  <c r="R97" i="5"/>
  <c r="R98" i="5"/>
  <c r="I62" i="8"/>
  <c r="S82" i="5" s="1"/>
  <c r="I58" i="8"/>
  <c r="S78" i="5" s="1"/>
  <c r="I61" i="8"/>
  <c r="S81" i="5" s="1"/>
  <c r="I59" i="8"/>
  <c r="S79" i="5" s="1"/>
  <c r="I60" i="8"/>
  <c r="S80" i="5" s="1"/>
  <c r="Q99" i="5"/>
  <c r="Q106" i="5" s="1"/>
  <c r="K142" i="5" s="1"/>
  <c r="T35" i="5"/>
  <c r="J44" i="8"/>
  <c r="P114" i="5" l="1"/>
  <c r="P117" i="5" s="1"/>
  <c r="H144" i="5"/>
  <c r="Q107" i="5"/>
  <c r="Q114" i="5" s="1"/>
  <c r="S124" i="5"/>
  <c r="I74" i="8"/>
  <c r="S94" i="5" s="1"/>
  <c r="I72" i="8"/>
  <c r="S92" i="5" s="1"/>
  <c r="I71" i="8"/>
  <c r="S91" i="5" s="1"/>
  <c r="I75" i="8"/>
  <c r="S95" i="5" s="1"/>
  <c r="I73" i="8"/>
  <c r="S93" i="5" s="1"/>
  <c r="T39" i="5"/>
  <c r="T43" i="5" s="1"/>
  <c r="T103" i="5" s="1"/>
  <c r="J47" i="8"/>
  <c r="S97" i="5"/>
  <c r="S98" i="5"/>
  <c r="R124" i="5"/>
  <c r="J58" i="8"/>
  <c r="T78" i="5" s="1"/>
  <c r="J62" i="8"/>
  <c r="T82" i="5" s="1"/>
  <c r="J59" i="8"/>
  <c r="T79" i="5" s="1"/>
  <c r="J61" i="8"/>
  <c r="T81" i="5" s="1"/>
  <c r="J60" i="8"/>
  <c r="T80" i="5" s="1"/>
  <c r="U35" i="5"/>
  <c r="K44" i="8"/>
  <c r="R99" i="5"/>
  <c r="R106" i="5" s="1"/>
  <c r="Q117" i="5" l="1"/>
  <c r="H145" i="5"/>
  <c r="K143" i="5"/>
  <c r="R107" i="5"/>
  <c r="R114" i="5" s="1"/>
  <c r="R117" i="5" s="1"/>
  <c r="T124" i="5"/>
  <c r="J71" i="8"/>
  <c r="T91" i="5" s="1"/>
  <c r="J75" i="8"/>
  <c r="T95" i="5" s="1"/>
  <c r="J73" i="8"/>
  <c r="T93" i="5" s="1"/>
  <c r="J72" i="8"/>
  <c r="T92" i="5" s="1"/>
  <c r="J74" i="8"/>
  <c r="T94" i="5" s="1"/>
  <c r="U39" i="5"/>
  <c r="U43" i="5" s="1"/>
  <c r="U103" i="5" s="1"/>
  <c r="K47" i="8"/>
  <c r="T98" i="5"/>
  <c r="T97" i="5"/>
  <c r="K58" i="8"/>
  <c r="U78" i="5" s="1"/>
  <c r="K59" i="8"/>
  <c r="U79" i="5" s="1"/>
  <c r="K60" i="8"/>
  <c r="U80" i="5" s="1"/>
  <c r="K61" i="8"/>
  <c r="U81" i="5" s="1"/>
  <c r="K62" i="8"/>
  <c r="U82" i="5" s="1"/>
  <c r="L44" i="8"/>
  <c r="V35" i="5"/>
  <c r="S99" i="5"/>
  <c r="S106" i="5" s="1"/>
  <c r="H146" i="5" l="1"/>
  <c r="K144" i="5"/>
  <c r="S107" i="5"/>
  <c r="S114" i="5" s="1"/>
  <c r="S117" i="5" s="1"/>
  <c r="K71" i="8"/>
  <c r="U91" i="5" s="1"/>
  <c r="K75" i="8"/>
  <c r="U95" i="5" s="1"/>
  <c r="K74" i="8"/>
  <c r="U94" i="5" s="1"/>
  <c r="K73" i="8"/>
  <c r="U93" i="5" s="1"/>
  <c r="K72" i="8"/>
  <c r="U92" i="5" s="1"/>
  <c r="V39" i="5"/>
  <c r="V43" i="5" s="1"/>
  <c r="V103" i="5" s="1"/>
  <c r="L47" i="8"/>
  <c r="T99" i="5"/>
  <c r="T106" i="5" s="1"/>
  <c r="U124" i="5"/>
  <c r="W35" i="5"/>
  <c r="M44" i="8"/>
  <c r="U98" i="5"/>
  <c r="U97" i="5"/>
  <c r="L62" i="8"/>
  <c r="V82" i="5" s="1"/>
  <c r="L61" i="8"/>
  <c r="V81" i="5" s="1"/>
  <c r="L59" i="8"/>
  <c r="V79" i="5" s="1"/>
  <c r="L60" i="8"/>
  <c r="V80" i="5" s="1"/>
  <c r="L58" i="8"/>
  <c r="V78" i="5" s="1"/>
  <c r="K145" i="5" l="1"/>
  <c r="T107" i="5"/>
  <c r="T114" i="5" s="1"/>
  <c r="T117" i="5"/>
  <c r="H147" i="5"/>
  <c r="V124" i="5"/>
  <c r="W39" i="5"/>
  <c r="W43" i="5" s="1"/>
  <c r="M47" i="8"/>
  <c r="U99" i="5"/>
  <c r="U106" i="5" s="1"/>
  <c r="L74" i="8"/>
  <c r="V94" i="5" s="1"/>
  <c r="L72" i="8"/>
  <c r="V92" i="5" s="1"/>
  <c r="L71" i="8"/>
  <c r="V91" i="5" s="1"/>
  <c r="L73" i="8"/>
  <c r="V93" i="5" s="1"/>
  <c r="L75" i="8"/>
  <c r="V95" i="5" s="1"/>
  <c r="V97" i="5"/>
  <c r="V98" i="5"/>
  <c r="N44" i="8"/>
  <c r="X35" i="5"/>
  <c r="M62" i="8"/>
  <c r="W82" i="5" s="1"/>
  <c r="M60" i="8"/>
  <c r="W80" i="5" s="1"/>
  <c r="M61" i="8"/>
  <c r="W81" i="5" s="1"/>
  <c r="M59" i="8"/>
  <c r="W79" i="5" s="1"/>
  <c r="M58" i="8"/>
  <c r="W78" i="5" s="1"/>
  <c r="K146" i="5" l="1"/>
  <c r="U107" i="5"/>
  <c r="U114" i="5" s="1"/>
  <c r="U117" i="5" s="1"/>
  <c r="W103" i="5"/>
  <c r="X39" i="5"/>
  <c r="X43" i="5" s="1"/>
  <c r="N47" i="8"/>
  <c r="M71" i="8"/>
  <c r="W91" i="5" s="1"/>
  <c r="M74" i="8"/>
  <c r="W94" i="5" s="1"/>
  <c r="M72" i="8"/>
  <c r="W92" i="5" s="1"/>
  <c r="M73" i="8"/>
  <c r="W93" i="5" s="1"/>
  <c r="M75" i="8"/>
  <c r="W95" i="5" s="1"/>
  <c r="O44" i="8"/>
  <c r="Y35" i="5"/>
  <c r="W98" i="5"/>
  <c r="W97" i="5"/>
  <c r="N59" i="8"/>
  <c r="X79" i="5" s="1"/>
  <c r="N61" i="8"/>
  <c r="X81" i="5" s="1"/>
  <c r="N60" i="8"/>
  <c r="X80" i="5" s="1"/>
  <c r="N62" i="8"/>
  <c r="X82" i="5" s="1"/>
  <c r="N58" i="8"/>
  <c r="X78" i="5" s="1"/>
  <c r="V99" i="5"/>
  <c r="V106" i="5" s="1"/>
  <c r="K147" i="5" l="1"/>
  <c r="V107" i="5"/>
  <c r="V114" i="5" s="1"/>
  <c r="H148" i="5"/>
  <c r="X103" i="5"/>
  <c r="W124" i="5"/>
  <c r="W99" i="5"/>
  <c r="W106" i="5" s="1"/>
  <c r="K148" i="5" s="1"/>
  <c r="X124" i="5"/>
  <c r="Y39" i="5"/>
  <c r="Y43" i="5" s="1"/>
  <c r="Y103" i="5" s="1"/>
  <c r="O47" i="8"/>
  <c r="N72" i="8"/>
  <c r="X92" i="5" s="1"/>
  <c r="N75" i="8"/>
  <c r="X95" i="5" s="1"/>
  <c r="N74" i="8"/>
  <c r="X94" i="5" s="1"/>
  <c r="N73" i="8"/>
  <c r="X93" i="5" s="1"/>
  <c r="N71" i="8"/>
  <c r="X91" i="5" s="1"/>
  <c r="Z35" i="5"/>
  <c r="P44" i="8"/>
  <c r="X98" i="5"/>
  <c r="X97" i="5"/>
  <c r="O58" i="8"/>
  <c r="Y78" i="5" s="1"/>
  <c r="O59" i="8"/>
  <c r="Y79" i="5" s="1"/>
  <c r="O61" i="8"/>
  <c r="Y81" i="5" s="1"/>
  <c r="O62" i="8"/>
  <c r="Y82" i="5" s="1"/>
  <c r="O60" i="8"/>
  <c r="Y80" i="5" s="1"/>
  <c r="W107" i="5" l="1"/>
  <c r="W114" i="5" s="1"/>
  <c r="W117" i="5" s="1"/>
  <c r="V117" i="5"/>
  <c r="H149" i="5"/>
  <c r="H150" i="5"/>
  <c r="X99" i="5"/>
  <c r="X106" i="5" s="1"/>
  <c r="K149" i="5" s="1"/>
  <c r="Y124" i="5"/>
  <c r="O72" i="8"/>
  <c r="Y92" i="5" s="1"/>
  <c r="O74" i="8"/>
  <c r="Y94" i="5" s="1"/>
  <c r="O75" i="8"/>
  <c r="Y95" i="5" s="1"/>
  <c r="O73" i="8"/>
  <c r="Y93" i="5" s="1"/>
  <c r="O71" i="8"/>
  <c r="Y91" i="5" s="1"/>
  <c r="P47" i="8"/>
  <c r="Z39" i="5"/>
  <c r="Z43" i="5" s="1"/>
  <c r="Y97" i="5"/>
  <c r="Y98" i="5"/>
  <c r="P61" i="8"/>
  <c r="Z81" i="5" s="1"/>
  <c r="P59" i="8"/>
  <c r="Z79" i="5" s="1"/>
  <c r="P60" i="8"/>
  <c r="Z80" i="5" s="1"/>
  <c r="P62" i="8"/>
  <c r="Z82" i="5" s="1"/>
  <c r="P58" i="8"/>
  <c r="Z78" i="5" s="1"/>
  <c r="AA35" i="5"/>
  <c r="Q44" i="8"/>
  <c r="X107" i="5" l="1"/>
  <c r="X114" i="5" s="1"/>
  <c r="Z103" i="5"/>
  <c r="Q47" i="8"/>
  <c r="AA39" i="5"/>
  <c r="AA43" i="5" s="1"/>
  <c r="AA103" i="5" s="1"/>
  <c r="P75" i="8"/>
  <c r="Z95" i="5" s="1"/>
  <c r="P72" i="8"/>
  <c r="Z92" i="5" s="1"/>
  <c r="P74" i="8"/>
  <c r="Z94" i="5" s="1"/>
  <c r="P71" i="8"/>
  <c r="Z91" i="5" s="1"/>
  <c r="P73" i="8"/>
  <c r="Z93" i="5" s="1"/>
  <c r="Y99" i="5"/>
  <c r="Y106" i="5" s="1"/>
  <c r="AB35" i="5"/>
  <c r="R44" i="8"/>
  <c r="Z97" i="5"/>
  <c r="Z98" i="5"/>
  <c r="Q58" i="8"/>
  <c r="AA78" i="5" s="1"/>
  <c r="Q59" i="8"/>
  <c r="AA79" i="5" s="1"/>
  <c r="Q61" i="8"/>
  <c r="AA81" i="5" s="1"/>
  <c r="Q60" i="8"/>
  <c r="AA80" i="5" s="1"/>
  <c r="Q62" i="8"/>
  <c r="AA82" i="5" s="1"/>
  <c r="H152" i="5" l="1"/>
  <c r="K150" i="5"/>
  <c r="Y107" i="5"/>
  <c r="Y114" i="5" s="1"/>
  <c r="Y117" i="5" s="1"/>
  <c r="H151" i="5"/>
  <c r="X117" i="5"/>
  <c r="Z124" i="5"/>
  <c r="AA124" i="5"/>
  <c r="Q71" i="8"/>
  <c r="AA91" i="5" s="1"/>
  <c r="Q73" i="8"/>
  <c r="AA93" i="5" s="1"/>
  <c r="Q74" i="8"/>
  <c r="AA94" i="5" s="1"/>
  <c r="Q72" i="8"/>
  <c r="AA92" i="5" s="1"/>
  <c r="Q75" i="8"/>
  <c r="AA95" i="5" s="1"/>
  <c r="AB39" i="5"/>
  <c r="AB43" i="5" s="1"/>
  <c r="AB103" i="5" s="1"/>
  <c r="R47" i="8"/>
  <c r="Z99" i="5"/>
  <c r="Z106" i="5" s="1"/>
  <c r="K151" i="5" s="1"/>
  <c r="R61" i="8"/>
  <c r="AB81" i="5" s="1"/>
  <c r="R58" i="8"/>
  <c r="AB78" i="5" s="1"/>
  <c r="R60" i="8"/>
  <c r="AB80" i="5" s="1"/>
  <c r="R59" i="8"/>
  <c r="AB79" i="5" s="1"/>
  <c r="R62" i="8"/>
  <c r="AB82" i="5" s="1"/>
  <c r="AA97" i="5"/>
  <c r="AA98" i="5"/>
  <c r="AC35" i="5"/>
  <c r="S44" i="8"/>
  <c r="Z107" i="5" l="1"/>
  <c r="Z114" i="5" s="1"/>
  <c r="H153" i="5"/>
  <c r="AB124" i="5"/>
  <c r="R75" i="8"/>
  <c r="AB95" i="5" s="1"/>
  <c r="R73" i="8"/>
  <c r="AB93" i="5" s="1"/>
  <c r="R72" i="8"/>
  <c r="AB92" i="5" s="1"/>
  <c r="R74" i="8"/>
  <c r="AB94" i="5" s="1"/>
  <c r="R71" i="8"/>
  <c r="AB91" i="5" s="1"/>
  <c r="AC39" i="5"/>
  <c r="AC43" i="5" s="1"/>
  <c r="AC103" i="5" s="1"/>
  <c r="S47" i="8"/>
  <c r="AA99" i="5"/>
  <c r="AA106" i="5" s="1"/>
  <c r="S59" i="8"/>
  <c r="AC79" i="5" s="1"/>
  <c r="S62" i="8"/>
  <c r="AC82" i="5" s="1"/>
  <c r="S60" i="8"/>
  <c r="AC80" i="5" s="1"/>
  <c r="S58" i="8"/>
  <c r="AC78" i="5" s="1"/>
  <c r="S61" i="8"/>
  <c r="AC81" i="5" s="1"/>
  <c r="T44" i="8"/>
  <c r="AD35" i="5"/>
  <c r="AB97" i="5"/>
  <c r="AB98" i="5"/>
  <c r="K152" i="5" l="1"/>
  <c r="AA107" i="5"/>
  <c r="AA114" i="5" s="1"/>
  <c r="H154" i="5"/>
  <c r="Z117" i="5"/>
  <c r="AC124" i="5"/>
  <c r="AD39" i="5"/>
  <c r="AD43" i="5" s="1"/>
  <c r="T47" i="8"/>
  <c r="S74" i="8"/>
  <c r="AC94" i="5" s="1"/>
  <c r="S71" i="8"/>
  <c r="AC91" i="5" s="1"/>
  <c r="S72" i="8"/>
  <c r="AC92" i="5" s="1"/>
  <c r="S75" i="8"/>
  <c r="AC95" i="5" s="1"/>
  <c r="S73" i="8"/>
  <c r="AC93" i="5" s="1"/>
  <c r="AB99" i="5"/>
  <c r="AB106" i="5" s="1"/>
  <c r="T61" i="8"/>
  <c r="AD81" i="5" s="1"/>
  <c r="T59" i="8"/>
  <c r="AD79" i="5" s="1"/>
  <c r="T58" i="8"/>
  <c r="AD78" i="5" s="1"/>
  <c r="T62" i="8"/>
  <c r="AD82" i="5" s="1"/>
  <c r="T60" i="8"/>
  <c r="AD80" i="5" s="1"/>
  <c r="AC98" i="5"/>
  <c r="AC97" i="5"/>
  <c r="AE35" i="5"/>
  <c r="U44" i="8"/>
  <c r="AA117" i="5" l="1"/>
  <c r="K153" i="5"/>
  <c r="AB107" i="5"/>
  <c r="AB114" i="5" s="1"/>
  <c r="AB117" i="5" s="1"/>
  <c r="AD103" i="5"/>
  <c r="AC99" i="5"/>
  <c r="AC106" i="5" s="1"/>
  <c r="T74" i="8"/>
  <c r="AD94" i="5" s="1"/>
  <c r="T71" i="8"/>
  <c r="AD91" i="5" s="1"/>
  <c r="T75" i="8"/>
  <c r="AD95" i="5" s="1"/>
  <c r="T72" i="8"/>
  <c r="AD92" i="5" s="1"/>
  <c r="T73" i="8"/>
  <c r="AD93" i="5" s="1"/>
  <c r="AE39" i="5"/>
  <c r="AE43" i="5" s="1"/>
  <c r="U47" i="8"/>
  <c r="AD97" i="5"/>
  <c r="AD98" i="5"/>
  <c r="V44" i="8"/>
  <c r="AF35" i="5"/>
  <c r="U58" i="8"/>
  <c r="AE78" i="5" s="1"/>
  <c r="U61" i="8"/>
  <c r="AE81" i="5" s="1"/>
  <c r="U59" i="8"/>
  <c r="AE79" i="5" s="1"/>
  <c r="U62" i="8"/>
  <c r="AE82" i="5" s="1"/>
  <c r="U60" i="8"/>
  <c r="AE80" i="5" s="1"/>
  <c r="K154" i="5" l="1"/>
  <c r="AC107" i="5"/>
  <c r="AC114" i="5" s="1"/>
  <c r="AD124" i="5"/>
  <c r="H155" i="5"/>
  <c r="AE103" i="5"/>
  <c r="AF39" i="5"/>
  <c r="AF43" i="5" s="1"/>
  <c r="V47" i="8"/>
  <c r="U72" i="8"/>
  <c r="AE92" i="5" s="1"/>
  <c r="U75" i="8"/>
  <c r="AE95" i="5" s="1"/>
  <c r="U73" i="8"/>
  <c r="AE93" i="5" s="1"/>
  <c r="U71" i="8"/>
  <c r="AE91" i="5" s="1"/>
  <c r="U74" i="8"/>
  <c r="AE94" i="5" s="1"/>
  <c r="AD99" i="5"/>
  <c r="AD106" i="5" s="1"/>
  <c r="K155" i="5" s="1"/>
  <c r="W44" i="8"/>
  <c r="AG35" i="5"/>
  <c r="V60" i="8"/>
  <c r="AF80" i="5" s="1"/>
  <c r="V62" i="8"/>
  <c r="AF82" i="5" s="1"/>
  <c r="V61" i="8"/>
  <c r="AF81" i="5" s="1"/>
  <c r="V59" i="8"/>
  <c r="AF79" i="5" s="1"/>
  <c r="V58" i="8"/>
  <c r="AF78" i="5" s="1"/>
  <c r="AE97" i="5"/>
  <c r="AE98" i="5"/>
  <c r="H156" i="5" l="1"/>
  <c r="AC117" i="5"/>
  <c r="AD107" i="5"/>
  <c r="AD114" i="5" s="1"/>
  <c r="AD117" i="5" s="1"/>
  <c r="AF103" i="5"/>
  <c r="V74" i="8"/>
  <c r="AF94" i="5" s="1"/>
  <c r="V71" i="8"/>
  <c r="AF91" i="5" s="1"/>
  <c r="V72" i="8"/>
  <c r="AF92" i="5" s="1"/>
  <c r="V73" i="8"/>
  <c r="AF93" i="5" s="1"/>
  <c r="V75" i="8"/>
  <c r="AF95" i="5" s="1"/>
  <c r="W47" i="8"/>
  <c r="AG39" i="5"/>
  <c r="AG43" i="5" s="1"/>
  <c r="AF97" i="5"/>
  <c r="AF98" i="5"/>
  <c r="X44" i="8"/>
  <c r="AH35" i="5"/>
  <c r="AE99" i="5"/>
  <c r="AE106" i="5" s="1"/>
  <c r="K156" i="5" s="1"/>
  <c r="W61" i="8"/>
  <c r="AG81" i="5" s="1"/>
  <c r="W59" i="8"/>
  <c r="AG79" i="5" s="1"/>
  <c r="W60" i="8"/>
  <c r="AG80" i="5" s="1"/>
  <c r="W58" i="8"/>
  <c r="AG78" i="5" s="1"/>
  <c r="W62" i="8"/>
  <c r="AG82" i="5" s="1"/>
  <c r="H157" i="5" l="1"/>
  <c r="AE107" i="5"/>
  <c r="AE114" i="5" s="1"/>
  <c r="AE117" i="5" s="1"/>
  <c r="AG103" i="5"/>
  <c r="W74" i="8"/>
  <c r="AG94" i="5" s="1"/>
  <c r="W73" i="8"/>
  <c r="AG93" i="5" s="1"/>
  <c r="W72" i="8"/>
  <c r="AG92" i="5" s="1"/>
  <c r="W75" i="8"/>
  <c r="AG95" i="5" s="1"/>
  <c r="W71" i="8"/>
  <c r="AG91" i="5" s="1"/>
  <c r="AH39" i="5"/>
  <c r="AH43" i="5" s="1"/>
  <c r="X47" i="8"/>
  <c r="AF99" i="5"/>
  <c r="AF106" i="5" s="1"/>
  <c r="K157" i="5" s="1"/>
  <c r="X62" i="8"/>
  <c r="AH82" i="5" s="1"/>
  <c r="X61" i="8"/>
  <c r="AH81" i="5" s="1"/>
  <c r="X60" i="8"/>
  <c r="AH80" i="5" s="1"/>
  <c r="X59" i="8"/>
  <c r="AH79" i="5" s="1"/>
  <c r="X58" i="8"/>
  <c r="AH78" i="5" s="1"/>
  <c r="Y44" i="8"/>
  <c r="AI35" i="5"/>
  <c r="AG98" i="5"/>
  <c r="AG97" i="5"/>
  <c r="H158" i="5" l="1"/>
  <c r="AF107" i="5"/>
  <c r="AF114" i="5" s="1"/>
  <c r="AH103" i="5"/>
  <c r="X74" i="8"/>
  <c r="AH94" i="5" s="1"/>
  <c r="X73" i="8"/>
  <c r="AH93" i="5" s="1"/>
  <c r="X71" i="8"/>
  <c r="AH91" i="5" s="1"/>
  <c r="X75" i="8"/>
  <c r="AH95" i="5" s="1"/>
  <c r="X72" i="8"/>
  <c r="AH92" i="5" s="1"/>
  <c r="AI39" i="5"/>
  <c r="AI43" i="5" s="1"/>
  <c r="Y47" i="8"/>
  <c r="AG99" i="5"/>
  <c r="AG106" i="5" s="1"/>
  <c r="K158" i="5" s="1"/>
  <c r="Y59" i="8"/>
  <c r="AI79" i="5" s="1"/>
  <c r="Y62" i="8"/>
  <c r="AI82" i="5" s="1"/>
  <c r="Y61" i="8"/>
  <c r="AI81" i="5" s="1"/>
  <c r="Y60" i="8"/>
  <c r="AI80" i="5" s="1"/>
  <c r="Y58" i="8"/>
  <c r="AI78" i="5" s="1"/>
  <c r="AH97" i="5"/>
  <c r="AH98" i="5"/>
  <c r="Z44" i="8"/>
  <c r="AJ35" i="5"/>
  <c r="H159" i="5" l="1"/>
  <c r="AF117" i="5"/>
  <c r="AG107" i="5"/>
  <c r="AG114" i="5" s="1"/>
  <c r="AI103" i="5"/>
  <c r="AJ39" i="5"/>
  <c r="AJ43" i="5" s="1"/>
  <c r="Z47" i="8"/>
  <c r="Y74" i="8"/>
  <c r="AI94" i="5" s="1"/>
  <c r="Y73" i="8"/>
  <c r="AI93" i="5" s="1"/>
  <c r="Y71" i="8"/>
  <c r="AI91" i="5" s="1"/>
  <c r="Y72" i="8"/>
  <c r="AI92" i="5" s="1"/>
  <c r="Y75" i="8"/>
  <c r="AI95" i="5" s="1"/>
  <c r="AH99" i="5"/>
  <c r="AH106" i="5" s="1"/>
  <c r="K159" i="5" s="1"/>
  <c r="Z59" i="8"/>
  <c r="AJ79" i="5" s="1"/>
  <c r="Z62" i="8"/>
  <c r="AJ82" i="5" s="1"/>
  <c r="Z60" i="8"/>
  <c r="AJ80" i="5" s="1"/>
  <c r="Z61" i="8"/>
  <c r="AJ81" i="5" s="1"/>
  <c r="Z58" i="8"/>
  <c r="AJ78" i="5" s="1"/>
  <c r="AI97" i="5"/>
  <c r="AI98" i="5"/>
  <c r="AK35" i="5"/>
  <c r="AA44" i="8"/>
  <c r="H160" i="5" l="1"/>
  <c r="AG117" i="5"/>
  <c r="AH107" i="5"/>
  <c r="AH114" i="5" s="1"/>
  <c r="AJ103" i="5"/>
  <c r="Z74" i="8"/>
  <c r="AJ94" i="5" s="1"/>
  <c r="Z75" i="8"/>
  <c r="AJ95" i="5" s="1"/>
  <c r="Z73" i="8"/>
  <c r="AJ93" i="5" s="1"/>
  <c r="Z72" i="8"/>
  <c r="AJ92" i="5" s="1"/>
  <c r="Z71" i="8"/>
  <c r="AJ91" i="5" s="1"/>
  <c r="AK39" i="5"/>
  <c r="AK43" i="5" s="1"/>
  <c r="AA47" i="8"/>
  <c r="AB44" i="8"/>
  <c r="AL35" i="5"/>
  <c r="AJ98" i="5"/>
  <c r="AJ97" i="5"/>
  <c r="AI99" i="5"/>
  <c r="AI106" i="5" s="1"/>
  <c r="K160" i="5" s="1"/>
  <c r="AA58" i="8"/>
  <c r="AK78" i="5" s="1"/>
  <c r="AA62" i="8"/>
  <c r="AK82" i="5" s="1"/>
  <c r="AA59" i="8"/>
  <c r="AK79" i="5" s="1"/>
  <c r="AA60" i="8"/>
  <c r="AK80" i="5" s="1"/>
  <c r="AA61" i="8"/>
  <c r="AK81" i="5" s="1"/>
  <c r="AH117" i="5" l="1"/>
  <c r="H161" i="5"/>
  <c r="AI107" i="5"/>
  <c r="AI114" i="5" s="1"/>
  <c r="AK103" i="5"/>
  <c r="AJ99" i="5"/>
  <c r="AJ106" i="5" s="1"/>
  <c r="K161" i="5" s="1"/>
  <c r="AA75" i="8"/>
  <c r="AK95" i="5" s="1"/>
  <c r="AA72" i="8"/>
  <c r="AK92" i="5" s="1"/>
  <c r="AA74" i="8"/>
  <c r="AK94" i="5" s="1"/>
  <c r="AA71" i="8"/>
  <c r="AK91" i="5" s="1"/>
  <c r="AA73" i="8"/>
  <c r="AK93" i="5" s="1"/>
  <c r="AB47" i="8"/>
  <c r="AL39" i="5"/>
  <c r="AL43" i="5" s="1"/>
  <c r="AC44" i="8"/>
  <c r="AM35" i="5"/>
  <c r="AK97" i="5"/>
  <c r="AK98" i="5"/>
  <c r="AB59" i="8"/>
  <c r="AL79" i="5" s="1"/>
  <c r="AB58" i="8"/>
  <c r="AL78" i="5" s="1"/>
  <c r="AB62" i="8"/>
  <c r="AL82" i="5" s="1"/>
  <c r="AB61" i="8"/>
  <c r="AL81" i="5" s="1"/>
  <c r="AB60" i="8"/>
  <c r="AL80" i="5" s="1"/>
  <c r="AJ107" i="5" l="1"/>
  <c r="AJ114" i="5" s="1"/>
  <c r="H162" i="5"/>
  <c r="AI117" i="5"/>
  <c r="AL103" i="5"/>
  <c r="AB74" i="8"/>
  <c r="AL94" i="5" s="1"/>
  <c r="AB71" i="8"/>
  <c r="AL91" i="5" s="1"/>
  <c r="AB72" i="8"/>
  <c r="AL92" i="5" s="1"/>
  <c r="AB73" i="8"/>
  <c r="AL93" i="5" s="1"/>
  <c r="AB75" i="8"/>
  <c r="AL95" i="5" s="1"/>
  <c r="AC47" i="8"/>
  <c r="AM39" i="5"/>
  <c r="AM43" i="5" s="1"/>
  <c r="AK99" i="5"/>
  <c r="AK106" i="5" s="1"/>
  <c r="K162" i="5" s="1"/>
  <c r="AN35" i="5"/>
  <c r="AD44" i="8"/>
  <c r="AL98" i="5"/>
  <c r="AL97" i="5"/>
  <c r="AC62" i="8"/>
  <c r="AM82" i="5" s="1"/>
  <c r="AC58" i="8"/>
  <c r="AM78" i="5" s="1"/>
  <c r="AC59" i="8"/>
  <c r="AM79" i="5" s="1"/>
  <c r="AC61" i="8"/>
  <c r="AM81" i="5" s="1"/>
  <c r="AC60" i="8"/>
  <c r="AM80" i="5" s="1"/>
  <c r="H163" i="5" l="1"/>
  <c r="AK107" i="5"/>
  <c r="AK114" i="5" s="1"/>
  <c r="AK117" i="5" s="1"/>
  <c r="AJ117" i="5"/>
  <c r="AM103" i="5"/>
  <c r="AL99" i="5"/>
  <c r="AL106" i="5" s="1"/>
  <c r="K163" i="5" s="1"/>
  <c r="AN39" i="5"/>
  <c r="AN43" i="5" s="1"/>
  <c r="AN103" i="5" s="1"/>
  <c r="AD47" i="8"/>
  <c r="AC72" i="8"/>
  <c r="AM92" i="5" s="1"/>
  <c r="AC71" i="8"/>
  <c r="AM91" i="5" s="1"/>
  <c r="AC73" i="8"/>
  <c r="AM93" i="5" s="1"/>
  <c r="AC75" i="8"/>
  <c r="AM95" i="5" s="1"/>
  <c r="AC74" i="8"/>
  <c r="AM94" i="5" s="1"/>
  <c r="AM98" i="5"/>
  <c r="AM97" i="5"/>
  <c r="AD60" i="8"/>
  <c r="AN80" i="5" s="1"/>
  <c r="AD58" i="8"/>
  <c r="AN78" i="5" s="1"/>
  <c r="AD62" i="8"/>
  <c r="AN82" i="5" s="1"/>
  <c r="AD59" i="8"/>
  <c r="AN79" i="5" s="1"/>
  <c r="AD61" i="8"/>
  <c r="AN81" i="5" s="1"/>
  <c r="AE44" i="8"/>
  <c r="AO35" i="5"/>
  <c r="C35" i="5" s="1"/>
  <c r="AL107" i="5" l="1"/>
  <c r="AL114" i="5" s="1"/>
  <c r="AL117" i="5" s="1"/>
  <c r="H164" i="5"/>
  <c r="H165" i="5"/>
  <c r="AM99" i="5"/>
  <c r="AM106" i="5" s="1"/>
  <c r="K164" i="5" s="1"/>
  <c r="AD72" i="8"/>
  <c r="AN92" i="5" s="1"/>
  <c r="AD71" i="8"/>
  <c r="AN91" i="5" s="1"/>
  <c r="AD75" i="8"/>
  <c r="AN95" i="5" s="1"/>
  <c r="AD73" i="8"/>
  <c r="AN93" i="5" s="1"/>
  <c r="AD74" i="8"/>
  <c r="AN94" i="5" s="1"/>
  <c r="AE47" i="8"/>
  <c r="AO39" i="5"/>
  <c r="C39" i="5" s="1"/>
  <c r="AF44" i="8"/>
  <c r="AN97" i="5"/>
  <c r="AN98" i="5"/>
  <c r="AE59" i="8"/>
  <c r="AO79" i="5" s="1"/>
  <c r="C79" i="5" s="1"/>
  <c r="AE61" i="8"/>
  <c r="AO81" i="5" s="1"/>
  <c r="C81" i="5" s="1"/>
  <c r="AE62" i="8"/>
  <c r="AO82" i="5" s="1"/>
  <c r="C82" i="5" s="1"/>
  <c r="AE60" i="8"/>
  <c r="AO80" i="5" s="1"/>
  <c r="C80" i="5" s="1"/>
  <c r="AE58" i="8"/>
  <c r="AO78" i="5" s="1"/>
  <c r="C78" i="5" s="1"/>
  <c r="AM107" i="5" l="1"/>
  <c r="AM114" i="5" s="1"/>
  <c r="AM117" i="5" s="1"/>
  <c r="AO43" i="5"/>
  <c r="AF47" i="8"/>
  <c r="AE72" i="8"/>
  <c r="AO92" i="5" s="1"/>
  <c r="C92" i="5" s="1"/>
  <c r="AE75" i="8"/>
  <c r="AO95" i="5" s="1"/>
  <c r="C95" i="5" s="1"/>
  <c r="AE73" i="8"/>
  <c r="AO93" i="5" s="1"/>
  <c r="C93" i="5" s="1"/>
  <c r="AE71" i="8"/>
  <c r="AO91" i="5" s="1"/>
  <c r="C91" i="5" s="1"/>
  <c r="AE74" i="8"/>
  <c r="AO94" i="5" s="1"/>
  <c r="C94" i="5" s="1"/>
  <c r="AN99" i="5"/>
  <c r="AN106" i="5" s="1"/>
  <c r="AO97" i="5"/>
  <c r="C97" i="5" s="1"/>
  <c r="AO98" i="5"/>
  <c r="C98" i="5" s="1"/>
  <c r="AF59" i="8"/>
  <c r="AF58" i="8"/>
  <c r="AF60" i="8"/>
  <c r="AF62" i="8"/>
  <c r="AF61" i="8"/>
  <c r="K165" i="5" l="1"/>
  <c r="AN107" i="5"/>
  <c r="AN114" i="5" s="1"/>
  <c r="AN117" i="5" s="1"/>
  <c r="C43" i="5"/>
  <c r="AO103" i="5"/>
  <c r="AF71" i="8"/>
  <c r="AF73" i="8"/>
  <c r="AF72" i="8"/>
  <c r="AF74" i="8"/>
  <c r="AF75" i="8"/>
  <c r="AO99" i="5"/>
  <c r="C103" i="5" l="1"/>
  <c r="H166" i="5"/>
  <c r="C99" i="5"/>
  <c r="AO106" i="5"/>
  <c r="AO107" i="5" s="1"/>
  <c r="AO114" i="5" l="1"/>
  <c r="C114" i="5" s="1"/>
  <c r="C115" i="5" s="1"/>
  <c r="C107" i="5"/>
  <c r="C106" i="5"/>
  <c r="K166" i="5"/>
</calcChain>
</file>

<file path=xl/sharedStrings.xml><?xml version="1.0" encoding="utf-8"?>
<sst xmlns="http://schemas.openxmlformats.org/spreadsheetml/2006/main" count="1481" uniqueCount="415">
  <si>
    <t>Total</t>
  </si>
  <si>
    <t xml:space="preserve">Real Discount Rate </t>
  </si>
  <si>
    <t>Assumptions</t>
  </si>
  <si>
    <t>Value</t>
  </si>
  <si>
    <t>Unit</t>
  </si>
  <si>
    <t>Source</t>
  </si>
  <si>
    <t>person/veh</t>
  </si>
  <si>
    <t>Value of Time - Automobile</t>
  </si>
  <si>
    <t>Project Construction  start</t>
  </si>
  <si>
    <t>Project operation start</t>
  </si>
  <si>
    <t>Construction</t>
  </si>
  <si>
    <t>Operation</t>
  </si>
  <si>
    <t>Construction Cost</t>
  </si>
  <si>
    <t>Maintenance Cost</t>
  </si>
  <si>
    <t>Travel Time Cost</t>
  </si>
  <si>
    <t xml:space="preserve">Benefit-Cost Ratio </t>
  </si>
  <si>
    <t>For Report</t>
  </si>
  <si>
    <t>2017$</t>
  </si>
  <si>
    <r>
      <t>Value of Time - Truck</t>
    </r>
    <r>
      <rPr>
        <vertAlign val="superscript"/>
        <sz val="11"/>
        <color theme="1"/>
        <rFont val="Calibri"/>
        <family val="2"/>
        <scheme val="minor"/>
      </rPr>
      <t>1</t>
    </r>
  </si>
  <si>
    <t>Value of Travel Time Savings (VTTS)</t>
  </si>
  <si>
    <t>per person-hr</t>
  </si>
  <si>
    <t>Project construction duration (yrs)</t>
  </si>
  <si>
    <t>Emissions</t>
  </si>
  <si>
    <t>Vehicle Emissions</t>
  </si>
  <si>
    <t>Carbon Dioxide (CO2)</t>
  </si>
  <si>
    <t>$/short ton (2017 $)</t>
  </si>
  <si>
    <t>Volatile Organic Compounds (VOCs)</t>
  </si>
  <si>
    <t>Particulate matter (PM)</t>
  </si>
  <si>
    <t>Sulfur dioxide (SO2)</t>
  </si>
  <si>
    <t>Value of Time - Bus (Drivers)1</t>
  </si>
  <si>
    <t>Transit Rail Operators</t>
  </si>
  <si>
    <t>Average occupancy for passenger vehicles</t>
  </si>
  <si>
    <t xml:space="preserve">Development and Design </t>
  </si>
  <si>
    <t>Residual Value</t>
  </si>
  <si>
    <t>Project Development and Design</t>
  </si>
  <si>
    <t>Total Benefits</t>
  </si>
  <si>
    <t>CMF for Converting Signal Control to Roundabout</t>
  </si>
  <si>
    <t>CMF</t>
  </si>
  <si>
    <t>Based on Source Document: NCHRP Report 705 “Evaluation of Safety Strategies at Signalized Intersections”</t>
  </si>
  <si>
    <t>Source:  WSDOT CMF Table.</t>
  </si>
  <si>
    <t>KABCO</t>
  </si>
  <si>
    <t>5-yr total</t>
  </si>
  <si>
    <t>Annual Avg</t>
  </si>
  <si>
    <t>C, Possible injury</t>
  </si>
  <si>
    <t>B, Evident, Non-incapacitating</t>
  </si>
  <si>
    <t>A, Incapacitating, Serious Injury</t>
  </si>
  <si>
    <t>U, Injured, severity unknown</t>
  </si>
  <si>
    <t>Value of Reduced Fatalities and Injuries (2017$)</t>
  </si>
  <si>
    <t>Source: USDOT Benefit Cost Analysis Guidance for Discretional Grant Programs, 2018. Table A-1, p. 28.</t>
  </si>
  <si>
    <t>Property damage only</t>
  </si>
  <si>
    <t>Auto</t>
  </si>
  <si>
    <t>VOCs</t>
  </si>
  <si>
    <t>NOx</t>
  </si>
  <si>
    <t>SO2</t>
  </si>
  <si>
    <t>CO2</t>
  </si>
  <si>
    <t>PM2.5</t>
  </si>
  <si>
    <t>Truck</t>
  </si>
  <si>
    <t>Build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</si>
  <si>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</si>
  <si>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</si>
  <si>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</si>
  <si>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</si>
  <si>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</si>
  <si>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</si>
  <si>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</si>
  <si>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</si>
  <si>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</si>
  <si>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[Index numbers, 2012=100] Seasonally adjusted</t>
  </si>
  <si>
    <t>Quarterly data from 1947Q1 to 2019Q1</t>
  </si>
  <si>
    <t>Bureau of Economic Analysis</t>
  </si>
  <si>
    <t>Data published May 30, 2019</t>
  </si>
  <si>
    <t>File created May 29 2019  3:10PM</t>
  </si>
  <si>
    <t>From Table 1.1.4. Price Indexes for Gross Domestic Product</t>
  </si>
  <si>
    <t>https://apps.bea.gov/iTable/iTable.cfm?reqid=19&amp;step=2#reqid=19&amp;step=2&amp;isuri=1&amp;1921=survey</t>
  </si>
  <si>
    <t>2018P</t>
  </si>
  <si>
    <t>2019P</t>
  </si>
  <si>
    <t>Pedestrian and bicycles</t>
  </si>
  <si>
    <t>Source: USDOT Benefit Cost Analysis Guidance for Discretional Grant Programs, 2018. Table A-3, p. 30.</t>
  </si>
  <si>
    <t>Source: USDOT Benefit Cost Analysis Guidance for Discretional Grant Programs, 2018. Table A-6, p. 32.</t>
  </si>
  <si>
    <t>Varies by year</t>
  </si>
  <si>
    <t>2019$</t>
  </si>
  <si>
    <t>Possible injury</t>
  </si>
  <si>
    <t>Evident, Non-incapacitating</t>
  </si>
  <si>
    <t>Injured, severity unknown</t>
  </si>
  <si>
    <t>Incapacitating, Serious Injury</t>
  </si>
  <si>
    <t>Volumes</t>
  </si>
  <si>
    <t>Delay (s)</t>
  </si>
  <si>
    <t>145th St NE / 5th Ave NE</t>
  </si>
  <si>
    <t>Signal</t>
  </si>
  <si>
    <t>145th St NE / SB I-5 Ramps</t>
  </si>
  <si>
    <t>145th St NE / 15th Ave NE</t>
  </si>
  <si>
    <t>145th St NE / Meridian Ave N</t>
  </si>
  <si>
    <t>145th St NE / 1st Ave NE</t>
  </si>
  <si>
    <t>145th St NE / 3rd Ave NE</t>
  </si>
  <si>
    <t>TWSC Stop on 3rd (RI/RO)</t>
  </si>
  <si>
    <t>145th St NE / 4th Ave NE</t>
  </si>
  <si>
    <t>TWSC Stop on 4th (RI/RO)</t>
  </si>
  <si>
    <t>5th Ave NE / NB I-5 ramps S of 145th St</t>
  </si>
  <si>
    <t xml:space="preserve">TWSC Stop on 4th </t>
  </si>
  <si>
    <t>5th Ave NE / NB I-5 ramps N of 145th St</t>
  </si>
  <si>
    <t>TWSC Stop on Transit Ramp</t>
  </si>
  <si>
    <t>2042 Build Alternative 3 - Roundabout Option</t>
  </si>
  <si>
    <t>2017 AM Peak Hr</t>
  </si>
  <si>
    <t>2017 PM Peak Hr</t>
  </si>
  <si>
    <t>Source:  NE 145th ICE Report, Draft April 2019, updated for build alternative.</t>
  </si>
  <si>
    <t>Annual Delay (hrs)</t>
  </si>
  <si>
    <t xml:space="preserve">Build - Annual Delay, Autos </t>
  </si>
  <si>
    <t xml:space="preserve">Build - Annual Delay, Trucks </t>
  </si>
  <si>
    <t xml:space="preserve">Build - Annual Delay, Buses </t>
  </si>
  <si>
    <t xml:space="preserve">Build - Annual Delay, Bicycle and Pedestrians </t>
  </si>
  <si>
    <t>Intersection Delay from NE 145th ICE Study</t>
  </si>
  <si>
    <t>Total Travel Time Savings</t>
  </si>
  <si>
    <t>Notes:</t>
  </si>
  <si>
    <t>Emission factors assumed to be unchanged after 2042.</t>
  </si>
  <si>
    <t>SOx used to estimate SO2. Based on a review of the available literature...for major point sources, SO2 represents 95% or greater of the total sulphur emission. Source:  Continued improvements of inventory methodologies: Task 4.1 Improving the quality of SOx/SO2 estimates and reporting, European Commission Ref. 070201/2014/693666/FRA/ENV.C.3 , 2016</t>
  </si>
  <si>
    <t>Emissions, grams per hour</t>
  </si>
  <si>
    <t xml:space="preserve">Source: Emission factors were obtained using EMFAC2017 using vehicle category LDA for autos and T6 utility, diesel for trucks.   https://www.arb.ca.gov/emfac/2017/ </t>
  </si>
  <si>
    <t>Travel Time (hours)</t>
  </si>
  <si>
    <t>Grams per short ton</t>
  </si>
  <si>
    <t>Grams per metric ton</t>
  </si>
  <si>
    <t>Emissions (Short Tons: CO2 is Metric Tonne)</t>
  </si>
  <si>
    <t>CO2 $ per metric tonne per year</t>
  </si>
  <si>
    <t>Total Emissions</t>
  </si>
  <si>
    <t>Total Emissions Reductions</t>
  </si>
  <si>
    <t>Project Life (years)</t>
  </si>
  <si>
    <t>Analysis period (years)</t>
  </si>
  <si>
    <t>Source: USDOT Benefit Cost Analysis Guidance for Discretional Grant Programs, 2018. Table A-4, p. 31.</t>
  </si>
  <si>
    <t>145th and I-5 SB Ramp</t>
  </si>
  <si>
    <t>145th and 5th Ave NE</t>
  </si>
  <si>
    <t>Traffic Volume Growth</t>
  </si>
  <si>
    <t>Peak Traffic Volumes (AM+PM)</t>
  </si>
  <si>
    <t>Est 2017 Build Alternative</t>
  </si>
  <si>
    <t>n.a.</t>
  </si>
  <si>
    <t>Historical and Forecast Crashes at Intersections being Replaced by Roundabouts</t>
  </si>
  <si>
    <t xml:space="preserve">Annualized Transit Vehicle Calculations from Incremental Modeling </t>
  </si>
  <si>
    <t xml:space="preserve">2016 Model </t>
  </si>
  <si>
    <t xml:space="preserve">Transit Routes </t>
  </si>
  <si>
    <t>Headway</t>
  </si>
  <si>
    <t>Vehicles</t>
  </si>
  <si>
    <t>One Hour only Numbers</t>
  </si>
  <si>
    <t xml:space="preserve">PM Peak </t>
  </si>
  <si>
    <t xml:space="preserve">Off Peak </t>
  </si>
  <si>
    <t xml:space="preserve">PM 1HR Peak </t>
  </si>
  <si>
    <t>Off Peak</t>
  </si>
  <si>
    <t>Daily 
Peak 
Vehicles</t>
  </si>
  <si>
    <t>Daily 
Off Peak Vehicles</t>
  </si>
  <si>
    <t>Annualized Transit Vehicles, Incremental Model Output</t>
  </si>
  <si>
    <t>Routes 301,303, 304,308,347, 373(1),512(1)</t>
  </si>
  <si>
    <t xml:space="preserve">2042 Model </t>
  </si>
  <si>
    <t>Daily 
Peak Vehicles</t>
  </si>
  <si>
    <t>Routes 28, 1019, SR522 BRT</t>
  </si>
  <si>
    <t>Annualization 
Factor for Vehicles Peak</t>
  </si>
  <si>
    <t>Annualization for Vehicles Off Peak</t>
  </si>
  <si>
    <t xml:space="preserve">Annualized Passenger Ridership and Transit Vehicle Calculations from Incremental Modeling </t>
  </si>
  <si>
    <t>Passengers</t>
  </si>
  <si>
    <t>PM</t>
  </si>
  <si>
    <t>AM</t>
  </si>
  <si>
    <t>Annualized Ridership</t>
  </si>
  <si>
    <t>Outbound</t>
  </si>
  <si>
    <t>Inbound</t>
  </si>
  <si>
    <t>Annualization 
Factor For Ridership KCM</t>
  </si>
  <si>
    <t>Annualization 
Factor For Ridership ST Exp</t>
  </si>
  <si>
    <t>Expansion Factors</t>
  </si>
  <si>
    <t>Days per year</t>
  </si>
  <si>
    <t>Percent trucks and buses</t>
  </si>
  <si>
    <r>
      <t xml:space="preserve">Source:  </t>
    </r>
    <r>
      <rPr>
        <i/>
        <sz val="11"/>
        <color theme="1"/>
        <rFont val="Calibri"/>
        <family val="2"/>
        <scheme val="minor"/>
      </rPr>
      <t>NE 145th Street Intersection Control Evaluation Report</t>
    </r>
    <r>
      <rPr>
        <sz val="11"/>
        <color theme="1"/>
        <rFont val="Calibri"/>
        <family val="2"/>
        <scheme val="minor"/>
      </rPr>
      <t>. Lochner. 2019</t>
    </r>
  </si>
  <si>
    <t>Jacobs estimate.</t>
  </si>
  <si>
    <t>Percent trucks and buses that are trucks in 2017</t>
  </si>
  <si>
    <t>Source: Annualization rates for ridership were taken from data calculated as part of the Lynnwood Link Extension work that was approved by FTA as part of the New Starts submittal process.</t>
  </si>
  <si>
    <t>Source: Parameters are based on standard calculations used in the incremental modeling process used by Sound Transit that were part of the New Starts submittal process with FTA.</t>
  </si>
  <si>
    <t xml:space="preserve">Travel Time Estimate (hours) </t>
  </si>
  <si>
    <t>no build</t>
  </si>
  <si>
    <t>Toal</t>
  </si>
  <si>
    <t>OffPeak</t>
  </si>
  <si>
    <t xml:space="preserve">No Build - Annual Delay, Autos </t>
  </si>
  <si>
    <t xml:space="preserve">No Build - Annual Delay, Trucks </t>
  </si>
  <si>
    <t xml:space="preserve">No Build - Annual Delay, Buses </t>
  </si>
  <si>
    <t xml:space="preserve">No Build - Annual Delay, Bicycle and Pedestrians </t>
  </si>
  <si>
    <t>No Build</t>
  </si>
  <si>
    <t>Annualized Ridership, Incremental Model Outputs</t>
  </si>
  <si>
    <t>373 (1)</t>
  </si>
  <si>
    <t>512 (1)</t>
  </si>
  <si>
    <t xml:space="preserve">(1) This route is shown in service tables to operate both direction in the peak but model includes only one. </t>
  </si>
  <si>
    <t>1019S</t>
  </si>
  <si>
    <t>1019N</t>
  </si>
  <si>
    <t>Zbus4a</t>
  </si>
  <si>
    <t>Zbus4b</t>
  </si>
  <si>
    <t>Zrai2</t>
  </si>
  <si>
    <t>-</t>
  </si>
  <si>
    <t>Zrai3</t>
  </si>
  <si>
    <t>Source: Parameters are based on standard calculations used in the incremental modeling process originally developed by Sound Transit that have been used in the New Starts submittal process with FTA.</t>
  </si>
  <si>
    <t>Bicycle and Pedestrian Crossings, PM Peak</t>
  </si>
  <si>
    <t>Bicycle, PM Peak</t>
  </si>
  <si>
    <t>Pedestrian, PM Peak</t>
  </si>
  <si>
    <t>Approach</t>
  </si>
  <si>
    <t>East Leg</t>
  </si>
  <si>
    <t>West Leg</t>
  </si>
  <si>
    <t>North Leg</t>
  </si>
  <si>
    <t>South Leg</t>
  </si>
  <si>
    <t>145th St. @ 5th Ave.</t>
  </si>
  <si>
    <t>145th St. @ SB I-5 Ramp</t>
  </si>
  <si>
    <t>Source:  Lochner, Rob B email, June 14, 2019.</t>
  </si>
  <si>
    <t>Source: Lochner. 2042 Future Ped Volumes.pdf, 2019.</t>
  </si>
  <si>
    <t>Days per Year</t>
  </si>
  <si>
    <t>Crossing Times (seconds)</t>
  </si>
  <si>
    <t>Total Annual Crossing Times (hours)</t>
  </si>
  <si>
    <t>2017 PM Peak Bicycle and Pedestrian Crossings</t>
  </si>
  <si>
    <t>Total PM Peak Crossing Times (seconds)</t>
  </si>
  <si>
    <t>Note: No crossing allowed today for west leg of 145th St @ SB I-5 ramp: thus this leg is excluded from estimates</t>
  </si>
  <si>
    <t>East</t>
  </si>
  <si>
    <t>West</t>
  </si>
  <si>
    <t>North</t>
  </si>
  <si>
    <t>South</t>
  </si>
  <si>
    <t>2042 Build PM Peak Build Bicycle and Pedestrian Crossings</t>
  </si>
  <si>
    <t>2042 No Build PM Peak Build Bicycle and Pedestrian Crossings</t>
  </si>
  <si>
    <t xml:space="preserve">No Build - Annual Delay, Bicycles and Pedestrians </t>
  </si>
  <si>
    <t xml:space="preserve">Build - Annual Delay, Bicycles and Pedestrians </t>
  </si>
  <si>
    <t>Annual Passengers (Peak)</t>
  </si>
  <si>
    <t>Annual Passengers (Off-Peak)</t>
  </si>
  <si>
    <t>Expansion Factor - Peak Only</t>
  </si>
  <si>
    <t>Annual Delay (Hours)</t>
  </si>
  <si>
    <t>Total Annual Delay, Transit</t>
  </si>
  <si>
    <t>Note: Crossing times based on a pedestrian walking 3.5 ft per second, no added delay at roundabouts, and 30 seconds added delay for signalized crossings.</t>
  </si>
  <si>
    <t>Source:  Jacobs estimates</t>
  </si>
  <si>
    <t>PM Peak Hour to Daily Expansion Factor</t>
  </si>
  <si>
    <t>Calculation of Peaking Factors</t>
  </si>
  <si>
    <t>7 Day Avg</t>
  </si>
  <si>
    <t>5th Ave NE n-o NE 145th St NB-SB 10-12-2017.pdf</t>
  </si>
  <si>
    <t>5th Ave NE s-o NE 145th St NB-SB 10-12-2017.pdf</t>
  </si>
  <si>
    <t>NE 145th St e-o 5th Ave NE EB-WB 10-11-2017.pdf</t>
  </si>
  <si>
    <t>NE 145th St w-o 5th Ave NE WB-WB 10-18-2017.pdf</t>
  </si>
  <si>
    <t>Average All</t>
  </si>
  <si>
    <t>Total Volume / Peak Volume</t>
  </si>
  <si>
    <t>Total Delay / Peak Delay</t>
  </si>
  <si>
    <t>Delay percent defined as: 0-70% = 0, 70%-90% = 0.5, &gt;90% = 1.0</t>
  </si>
  <si>
    <t>hours of delay for one peak hour delay</t>
  </si>
  <si>
    <t xml:space="preserve">Peaking "multiplier" at 145th and 1st Ave NE </t>
  </si>
  <si>
    <t>Summary of Results on 5th and 145th</t>
  </si>
  <si>
    <t>SB</t>
  </si>
  <si>
    <t>NB</t>
  </si>
  <si>
    <t>5th Ave NE and NE 145th St</t>
  </si>
  <si>
    <t>Thu</t>
  </si>
  <si>
    <t>Fri</t>
  </si>
  <si>
    <t>Sat</t>
  </si>
  <si>
    <t>Sun</t>
  </si>
  <si>
    <t>Mon</t>
  </si>
  <si>
    <t>Tue</t>
  </si>
  <si>
    <t>Wed</t>
  </si>
  <si>
    <t>Mon-Fri Avg</t>
  </si>
  <si>
    <t>NE 145th St and 5th Ave NE</t>
  </si>
  <si>
    <t>EB</t>
  </si>
  <si>
    <t>NE 145th St w-o 5th Ave NE EB-EB 10-18-2017.pdf</t>
  </si>
  <si>
    <t>M-F Avg</t>
  </si>
  <si>
    <t>7-Day avg</t>
  </si>
  <si>
    <t>NE 145th St w-o 1st Ave NE EB-WB 10-23-2017.pdf</t>
  </si>
  <si>
    <t>Percent of Peak</t>
  </si>
  <si>
    <t>Delay percent of Peak</t>
  </si>
  <si>
    <t>Peaking Factor</t>
  </si>
  <si>
    <t>WB</t>
  </si>
  <si>
    <t>Total Annual Delay (Hours)</t>
  </si>
  <si>
    <t>Delay percent defined as: 
0-70% = 0, 70%-90% = 0.5, &gt;90% = 1.0</t>
  </si>
  <si>
    <t>AM Peak to 12 hour AM</t>
  </si>
  <si>
    <t>PM Peak to 12 hour PM</t>
  </si>
  <si>
    <t>Source:  Lochner, Two RAB w ped crossing time.pdf.</t>
  </si>
  <si>
    <t>2025 Build Alternative - Roundabout Option</t>
  </si>
  <si>
    <t>2017 Existing Conditions</t>
  </si>
  <si>
    <t>2042 Existing Conditions</t>
  </si>
  <si>
    <t>Auto/Truck - AM Peak to 12hr AM</t>
  </si>
  <si>
    <t>Auto/Truck - PM Peak to 12hr PM</t>
  </si>
  <si>
    <t>Transit</t>
  </si>
  <si>
    <t>From Delay Tables.xlsx</t>
  </si>
  <si>
    <t>Table 3.9 - Note, this intersection performs similar in all build alternatives modeled (see p. 23)</t>
  </si>
  <si>
    <t>Table 3.1 - Note, this intersection performs similar in all build alternatives modeled (see p. 23)</t>
  </si>
  <si>
    <t xml:space="preserve">Annualized Passenger Ridership and Delay Calculations from Incremental Modeling </t>
  </si>
  <si>
    <t>2016 Model - Passengers in Project Area</t>
  </si>
  <si>
    <t>PM (3-HR Peak)</t>
  </si>
  <si>
    <t>AM (3-HR Peak)</t>
  </si>
  <si>
    <t>Off Peak (rest of day)</t>
  </si>
  <si>
    <t>2042 Model - Passengers in Project Area</t>
  </si>
  <si>
    <t xml:space="preserve">Delay - 2016 </t>
  </si>
  <si>
    <t>Delay (annual, hrs)</t>
  </si>
  <si>
    <t>2016 Delay as a percent of 2042 delay</t>
  </si>
  <si>
    <t>Delay - 2042 No Build</t>
  </si>
  <si>
    <t>Delay - 2025 No Build</t>
  </si>
  <si>
    <t>Delay - annual growth rate</t>
  </si>
  <si>
    <t>Delay - 2025 Build</t>
  </si>
  <si>
    <t>Delay - 2042 Build</t>
  </si>
  <si>
    <t>Annual Ridership</t>
  </si>
  <si>
    <t xml:space="preserve">Delay per Rider (sec) </t>
  </si>
  <si>
    <t>Annual</t>
  </si>
  <si>
    <t>Based on 5th and 145th no build intersection modeling.</t>
  </si>
  <si>
    <t>3hr Calculations</t>
  </si>
  <si>
    <t>hours of AM off peak delay per hour of AM Peak delay</t>
  </si>
  <si>
    <t>hours of PM off peak delay per hour of PM Peak delay</t>
  </si>
  <si>
    <t>Off Peak delay/rider as percent of PM peak delay</t>
  </si>
  <si>
    <t>Off Peak delay/rider as percent of AM peak delay</t>
  </si>
  <si>
    <t>No build</t>
  </si>
  <si>
    <t>No build (5 mph)</t>
  </si>
  <si>
    <t>Build (25 mph)</t>
  </si>
  <si>
    <t>Gasoline</t>
  </si>
  <si>
    <t>Diesel</t>
  </si>
  <si>
    <t>Source:  AAA Gas Prices for Seattle-Bellevue-Tacoma, July 7, 2019. Accessed at: https://gasprices.aaa.com/?state=WA</t>
  </si>
  <si>
    <t>Fuel Cost ($/gallon)</t>
  </si>
  <si>
    <t>Fuel Economy</t>
  </si>
  <si>
    <t>Autos</t>
  </si>
  <si>
    <t>Trucks</t>
  </si>
  <si>
    <t>miles per gallon</t>
  </si>
  <si>
    <r>
      <t xml:space="preserve">Source:  </t>
    </r>
    <r>
      <rPr>
        <i/>
        <sz val="11"/>
        <color theme="1"/>
        <rFont val="Calibri"/>
        <family val="2"/>
        <scheme val="minor"/>
      </rPr>
      <t>AAA Your Cost of Driving</t>
    </r>
    <r>
      <rPr>
        <sz val="11"/>
        <color theme="1"/>
        <rFont val="Calibri"/>
        <family val="2"/>
        <scheme val="minor"/>
      </rPr>
      <t>. https://exchange.aaa.com/automotive/driving-costs/ Accessed July 7, 2019.</t>
    </r>
  </si>
  <si>
    <r>
      <t xml:space="preserve">Source: </t>
    </r>
    <r>
      <rPr>
        <i/>
        <sz val="11"/>
        <color theme="1"/>
        <rFont val="Calibri"/>
        <family val="2"/>
        <scheme val="minor"/>
      </rPr>
      <t>An Analysis of the Operational Costs of Trucking:
2018 Update. October 2018. American Transportation Research Institute.  https://atri-online.org/wp-</t>
    </r>
    <r>
      <rPr>
        <sz val="11"/>
        <color theme="1"/>
        <rFont val="Calibri"/>
        <family val="2"/>
        <scheme val="minor"/>
      </rPr>
      <t>content/uploads/2018/10/ATRI-Operational-Costs-of-Trucking-2018.pdf  Accessed July 7, 2019.</t>
    </r>
  </si>
  <si>
    <t>miles needed to go an hr</t>
  </si>
  <si>
    <t>gallons per mile</t>
  </si>
  <si>
    <t>gallons per hour</t>
  </si>
  <si>
    <t>Miles per gallon (adjusted)</t>
  </si>
  <si>
    <t>Fuel Consumption (gallons)</t>
  </si>
  <si>
    <t>Fuel Cost Reduction</t>
  </si>
  <si>
    <t>No Build - Autos</t>
  </si>
  <si>
    <t>No Build - Truck</t>
  </si>
  <si>
    <t>Build - Autos</t>
  </si>
  <si>
    <t>Build - Trucks</t>
  </si>
  <si>
    <t>Total Fuel Cost Reduction</t>
  </si>
  <si>
    <t>Assume delay at 5 mpg</t>
  </si>
  <si>
    <t>Grams per mile converted to grams per hour assuming 5 mph.</t>
  </si>
  <si>
    <t>Planning, design, and ROW</t>
  </si>
  <si>
    <t>Total Project Costs (2019$)</t>
  </si>
  <si>
    <t>Planning, design, and ROW cost, year 1</t>
  </si>
  <si>
    <t>Construction cost year 1</t>
  </si>
  <si>
    <t>Construction cost year 2</t>
  </si>
  <si>
    <t>2019 Present Value</t>
  </si>
  <si>
    <t>Planning, design, and ROW cost, year 2</t>
  </si>
  <si>
    <t>Planning, design, and ROW cost, year 3</t>
  </si>
  <si>
    <t>Present Value of Initial Costs - No Build</t>
  </si>
  <si>
    <t>Residual Value - No Build</t>
  </si>
  <si>
    <t>Residual Value - Build</t>
  </si>
  <si>
    <t>145th St NE / 5th Ave NE (1)</t>
  </si>
  <si>
    <t>145th St NE / SB I-5 Ramps (1)</t>
  </si>
  <si>
    <t>5th Ave NE and I-5 NB On Ramp (1)</t>
  </si>
  <si>
    <t>5th Ave NE / NB I-5 ramps N of 145th St (1)</t>
  </si>
  <si>
    <t>(1) Source: Updated modeling conducted by Lochner and reported in Delay Tables.xlsx</t>
  </si>
  <si>
    <t>Peaking "multiplier" at 145th and 5th, all directions</t>
  </si>
  <si>
    <t>Hours of AM off peak delay per hour of AM Peak delay</t>
  </si>
  <si>
    <t>Summary of Results at NE 145th St w-o 1st Ave NE EB-WB</t>
  </si>
  <si>
    <t>3hr Calculations for Transit</t>
  </si>
  <si>
    <t>Source:  Summary of traffic counts at project intersections, Lochner. October and December, 2017.</t>
  </si>
  <si>
    <t>Delay per Rider (sec) (1)</t>
  </si>
  <si>
    <t>2017 No Build</t>
  </si>
  <si>
    <t>Source: Officer Reported Crashes occurring in project area, provided by Lochner, 2019.</t>
  </si>
  <si>
    <t>Both Intersections</t>
  </si>
  <si>
    <t>(1) Source = DKS and Associates 2019 for Sound Transit SR 522 and 145th Street BRT Project.</t>
  </si>
  <si>
    <t>Annualization Factor For Ridership KCM (1)</t>
  </si>
  <si>
    <t>Annualization Factor For Ridership ST Exp (1)</t>
  </si>
  <si>
    <t>(1) Source: Annualization rates for ridership were taken from data calculated as part of the Lynnwood Link Extension work that was approved by FTA as part of the New Starts submittal process</t>
  </si>
  <si>
    <t>Based on traffic counts in the project area (see Section 2.4.1).</t>
  </si>
  <si>
    <t>grams per gallon</t>
  </si>
  <si>
    <t>Travel Time Savings</t>
  </si>
  <si>
    <t>Emissions Cost Reduction</t>
  </si>
  <si>
    <t>Build Maintenance Cost Savings (2 signals at $10,000/yr each)</t>
  </si>
  <si>
    <t>Total Residual Value Benefit</t>
  </si>
  <si>
    <t>Present Value of Initial Costs</t>
  </si>
  <si>
    <t>Initial Costs (Planning, Design, ROW, Construction)</t>
  </si>
  <si>
    <t>No Build Alternative</t>
  </si>
  <si>
    <t>Build Alternative</t>
  </si>
  <si>
    <t>Reduction in Long-Term Maintenance Cost</t>
  </si>
  <si>
    <t>Total Costs</t>
  </si>
  <si>
    <t>Benefits (Present Value, 2019$)</t>
  </si>
  <si>
    <t>Costs (Present Value, 2019$)</t>
  </si>
  <si>
    <t>Net Benefit (Present Value, 2019$)</t>
  </si>
  <si>
    <t>NO BUILD</t>
  </si>
  <si>
    <t xml:space="preserve">ST constructs BRT project with BAT lanes from 5th Ave to 12th Ave </t>
  </si>
  <si>
    <t>ST constructs BRT project with sidewalk improvements from 5th Ave to 12th Ave</t>
  </si>
  <si>
    <t>Interchange improvements are not constructed</t>
  </si>
  <si>
    <t>5th Avenue traffic signal and widening constructed by ST Link</t>
  </si>
  <si>
    <t>Cost - NO BUILD (ST BRT Project)</t>
  </si>
  <si>
    <t>Planning</t>
  </si>
  <si>
    <t>Design</t>
  </si>
  <si>
    <t xml:space="preserve">Right of Way </t>
  </si>
  <si>
    <t>BUILD</t>
  </si>
  <si>
    <t>ST does not construct BAT lanes from 5th Ave to 12th Ave</t>
  </si>
  <si>
    <t>Shoreline implements interchange improvements with roundabouts</t>
  </si>
  <si>
    <t>Cost</t>
  </si>
  <si>
    <t>THE PROJECT</t>
  </si>
  <si>
    <t>ST BRT</t>
  </si>
  <si>
    <t>Shoreline Interchange</t>
  </si>
  <si>
    <t>Pump Station</t>
  </si>
  <si>
    <t>Park Mitigation</t>
  </si>
  <si>
    <t>TOTAL BUILD</t>
  </si>
  <si>
    <t>TOTALS</t>
  </si>
  <si>
    <t>RAB Project</t>
  </si>
  <si>
    <t>BRT</t>
  </si>
  <si>
    <t>ST BRT with BAT Lane</t>
  </si>
  <si>
    <t>NE 145th Project</t>
  </si>
  <si>
    <t>Sound Transit BRT Project</t>
  </si>
  <si>
    <t>Total Build Alternative</t>
  </si>
  <si>
    <t>Sound Transit with BAT Lane</t>
  </si>
  <si>
    <t>Project Cost Estimates</t>
  </si>
  <si>
    <t>Net Initial Capital Cost</t>
  </si>
  <si>
    <t xml:space="preserve">NE 145th Street Benefit Cost Analysis </t>
  </si>
  <si>
    <t>Benefit-Cost Calculations</t>
  </si>
  <si>
    <t>Fuel Consumption Estimates</t>
  </si>
  <si>
    <t>Emissions Estimates</t>
  </si>
  <si>
    <t>Price Escalation</t>
  </si>
  <si>
    <t>Killed, Fatal collision</t>
  </si>
  <si>
    <t>Collision Cost Reduction</t>
  </si>
  <si>
    <t>Collisions</t>
  </si>
  <si>
    <t>collision Cost Savings</t>
  </si>
  <si>
    <t>Vehicle collision Cost Savings</t>
  </si>
  <si>
    <t>Total Collision Cost Reduction</t>
  </si>
  <si>
    <t>Collision Estimates</t>
  </si>
  <si>
    <t>Historical Collision Statistics in Project Vicinity</t>
  </si>
  <si>
    <t>K, Killed, Fatal collision</t>
  </si>
  <si>
    <t>Nitrogen Oxides (NOx)</t>
  </si>
  <si>
    <t>Net Initial Cost of Build Alternative</t>
  </si>
  <si>
    <t>Cumulative Net Benefit</t>
  </si>
  <si>
    <t>Description:</t>
  </si>
  <si>
    <t>Bicycle and Pedestrian Crossings</t>
  </si>
  <si>
    <t xml:space="preserve">Fuel Economy adjusted for idling using effects of speed on fuel economy from California Air Resources Board CO2e methodology. Accessed at: https://ww3.arb.ca.gov/msei/onroad/downloads/pubs/co2final.pdf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</si>
</sst>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0.0%"/>
    <numFmt numFmtId="166" formatCode="&quot;$&quot;#,##0.000_);[Red]\(&quot;$&quot;#,##0.000\)"/>
    <numFmt numFmtId="167" formatCode="0.0"/>
    <numFmt numFmtId="168" formatCode="&quot;$&quot;#,##0"/>
    <numFmt numFmtId="169" formatCode="_(* #,##0_);_(* \(#,##0\);_(* &quot;-&quot;??_);_(@_)"/>
    <numFmt numFmtId="170" formatCode="_(&quot;$&quot;* #,##0_);_(&quot;$&quot;* \(#,##0\);_(&quot;$&quot;* &quot;-&quot;??_);_(@_)"/>
    <numFmt numFmtId="171" formatCode="&quot;$&quot;#,##0.00"/>
    <numFmt numFmtId="172" formatCode="#,##0.000"/>
    <numFmt numFmtId="173" formatCode="0.000"/>
    <numFmt numFmtId="174" formatCode="#,##0.0_);[Red]\(#,##0.0\)"/>
    <numFmt numFmtId="175" formatCode="0.0000_);[Red]\(0.0000\)"/>
    <numFmt numFmtId="176" formatCode="_(* #,##0.0_);_(* \(#,##0.0\);_(* &quot;-&quot;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1"/>
      <color rgb="FF00743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u/>
      <sz val="11"/>
      <color indexed="62"/>
      <name val="Calibri"/>
      <family val="2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vantGarde"/>
      <family val="2"/>
    </font>
    <font>
      <b/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532">
    <xf numFmtId="0" fontId="0" fillId="0" borderId="0" xfId="0"/>
    <xf numFmtId="0" fontId="3" fillId="0" borderId="0" xfId="0" applyFont="1"/>
    <xf numFmtId="165" fontId="5" fillId="0" borderId="0" xfId="3" applyNumberFormat="1" applyFont="1" applyFill="1" applyAlignment="1">
      <alignment horizontal="right"/>
    </xf>
    <xf numFmtId="0" fontId="3" fillId="0" borderId="0" xfId="0" applyFont="1" applyFill="1"/>
    <xf numFmtId="1" fontId="5" fillId="0" borderId="0" xfId="0" applyNumberFormat="1" applyFont="1" applyAlignment="1">
      <alignment horizontal="right"/>
    </xf>
    <xf numFmtId="0" fontId="4" fillId="0" borderId="0" xfId="0" applyFont="1"/>
    <xf numFmtId="6" fontId="0" fillId="0" borderId="0" xfId="0" applyNumberFormat="1"/>
    <xf numFmtId="6" fontId="2" fillId="0" borderId="0" xfId="0" applyNumberFormat="1" applyFont="1"/>
    <xf numFmtId="0" fontId="2" fillId="0" borderId="0" xfId="0" applyFont="1"/>
    <xf numFmtId="0" fontId="7" fillId="0" borderId="0" xfId="0" applyFont="1"/>
    <xf numFmtId="9" fontId="0" fillId="0" borderId="0" xfId="0" applyNumberFormat="1"/>
    <xf numFmtId="164" fontId="0" fillId="0" borderId="0" xfId="2" applyNumberFormat="1" applyFont="1"/>
    <xf numFmtId="0" fontId="0" fillId="0" borderId="0" xfId="0" applyFont="1"/>
    <xf numFmtId="0" fontId="0" fillId="0" borderId="2" xfId="0" applyBorder="1"/>
    <xf numFmtId="170" fontId="0" fillId="0" borderId="0" xfId="0" applyNumberFormat="1"/>
    <xf numFmtId="6" fontId="0" fillId="0" borderId="2" xfId="0" applyNumberFormat="1" applyBorder="1"/>
    <xf numFmtId="0" fontId="2" fillId="2" borderId="0" xfId="0" applyFont="1" applyFill="1"/>
    <xf numFmtId="0" fontId="0" fillId="2" borderId="0" xfId="0" applyFill="1"/>
    <xf numFmtId="0" fontId="0" fillId="2" borderId="2" xfId="0" applyFill="1" applyBorder="1"/>
    <xf numFmtId="6" fontId="0" fillId="0" borderId="0" xfId="0" applyNumberFormat="1" applyFont="1"/>
    <xf numFmtId="3" fontId="0" fillId="0" borderId="0" xfId="0" applyNumberFormat="1"/>
    <xf numFmtId="165" fontId="0" fillId="0" borderId="0" xfId="3" applyNumberFormat="1" applyFont="1"/>
    <xf numFmtId="2" fontId="0" fillId="0" borderId="0" xfId="0" applyNumberFormat="1" applyFont="1" applyFill="1" applyAlignment="1">
      <alignment horizontal="right"/>
    </xf>
    <xf numFmtId="1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166" fontId="6" fillId="0" borderId="0" xfId="3" applyNumberFormat="1" applyFont="1" applyFill="1" applyAlignment="1">
      <alignment horizontal="right"/>
    </xf>
    <xf numFmtId="0" fontId="0" fillId="0" borderId="0" xfId="0" applyFill="1"/>
    <xf numFmtId="0" fontId="0" fillId="3" borderId="0" xfId="0" applyFill="1"/>
    <xf numFmtId="0" fontId="9" fillId="0" borderId="0" xfId="0" applyFont="1"/>
    <xf numFmtId="0" fontId="0" fillId="0" borderId="2" xfId="0" applyFill="1" applyBorder="1"/>
    <xf numFmtId="169" fontId="0" fillId="0" borderId="0" xfId="1" applyNumberFormat="1" applyFont="1" applyFill="1"/>
    <xf numFmtId="37" fontId="0" fillId="0" borderId="0" xfId="1" applyNumberFormat="1" applyFont="1" applyFill="1"/>
    <xf numFmtId="0" fontId="7" fillId="0" borderId="0" xfId="0" applyFont="1" applyFill="1"/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2" fillId="0" borderId="0" xfId="0" applyFont="1" applyFill="1"/>
    <xf numFmtId="170" fontId="0" fillId="0" borderId="0" xfId="2" applyNumberFormat="1" applyFont="1" applyFill="1"/>
    <xf numFmtId="6" fontId="0" fillId="3" borderId="0" xfId="0" applyNumberFormat="1" applyFill="1"/>
    <xf numFmtId="0" fontId="0" fillId="0" borderId="1" xfId="0" applyBorder="1"/>
    <xf numFmtId="0" fontId="2" fillId="0" borderId="1" xfId="0" applyFont="1" applyBorder="1"/>
    <xf numFmtId="165" fontId="13" fillId="0" borderId="0" xfId="3" applyNumberFormat="1" applyFont="1" applyFill="1" applyAlignment="1">
      <alignment horizontal="right"/>
    </xf>
    <xf numFmtId="171" fontId="13" fillId="0" borderId="0" xfId="2" applyNumberFormat="1" applyFont="1" applyFill="1"/>
    <xf numFmtId="0" fontId="13" fillId="0" borderId="0" xfId="0" applyFont="1" applyFill="1" applyAlignment="1">
      <alignment horizontal="right"/>
    </xf>
    <xf numFmtId="0" fontId="14" fillId="0" borderId="0" xfId="0" applyFont="1"/>
    <xf numFmtId="0" fontId="13" fillId="0" borderId="0" xfId="0" applyFont="1" applyFill="1"/>
    <xf numFmtId="168" fontId="0" fillId="0" borderId="0" xfId="0" applyNumberFormat="1"/>
    <xf numFmtId="168" fontId="0" fillId="0" borderId="2" xfId="0" applyNumberFormat="1" applyFill="1" applyBorder="1"/>
    <xf numFmtId="168" fontId="0" fillId="0" borderId="0" xfId="0" applyNumberFormat="1" applyFill="1"/>
    <xf numFmtId="168" fontId="0" fillId="0" borderId="0" xfId="2" applyNumberFormat="1" applyFont="1"/>
    <xf numFmtId="168" fontId="0" fillId="0" borderId="0" xfId="2" applyNumberFormat="1" applyFont="1" applyFill="1"/>
    <xf numFmtId="168" fontId="13" fillId="0" borderId="0" xfId="2" applyNumberFormat="1" applyFont="1" applyFill="1"/>
    <xf numFmtId="168" fontId="13" fillId="0" borderId="0" xfId="0" applyNumberFormat="1" applyFont="1"/>
    <xf numFmtId="168" fontId="3" fillId="0" borderId="0" xfId="0" applyNumberFormat="1" applyFont="1"/>
    <xf numFmtId="168" fontId="3" fillId="0" borderId="0" xfId="2" applyNumberFormat="1" applyFont="1" applyFill="1"/>
    <xf numFmtId="6" fontId="3" fillId="0" borderId="0" xfId="0" applyNumberFormat="1" applyFont="1"/>
    <xf numFmtId="6" fontId="2" fillId="0" borderId="0" xfId="0" applyNumberFormat="1" applyFont="1" applyAlignment="1">
      <alignment horizontal="center"/>
    </xf>
    <xf numFmtId="168" fontId="13" fillId="4" borderId="0" xfId="2" applyNumberFormat="1" applyFont="1" applyFill="1"/>
    <xf numFmtId="0" fontId="2" fillId="0" borderId="6" xfId="0" applyFont="1" applyBorder="1" applyAlignment="1"/>
    <xf numFmtId="0" fontId="2" fillId="0" borderId="8" xfId="0" applyFont="1" applyBorder="1" applyAlignment="1"/>
    <xf numFmtId="0" fontId="2" fillId="0" borderId="8" xfId="0" applyFont="1" applyFill="1" applyBorder="1" applyAlignment="1"/>
    <xf numFmtId="0" fontId="0" fillId="0" borderId="1" xfId="0" applyFill="1" applyBorder="1"/>
    <xf numFmtId="0" fontId="2" fillId="0" borderId="1" xfId="0" applyFont="1" applyFill="1" applyBorder="1"/>
    <xf numFmtId="0" fontId="0" fillId="0" borderId="0" xfId="0" applyAlignment="1">
      <alignment wrapText="1"/>
    </xf>
    <xf numFmtId="0" fontId="1" fillId="0" borderId="1" xfId="0" applyFont="1" applyBorder="1"/>
    <xf numFmtId="38" fontId="1" fillId="0" borderId="1" xfId="0" applyNumberFormat="1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 indent="2"/>
    </xf>
    <xf numFmtId="174" fontId="1" fillId="0" borderId="1" xfId="0" applyNumberFormat="1" applyFont="1" applyBorder="1"/>
    <xf numFmtId="0" fontId="14" fillId="0" borderId="0" xfId="0" applyFont="1" applyFill="1"/>
    <xf numFmtId="0" fontId="0" fillId="0" borderId="1" xfId="0" applyFont="1" applyBorder="1"/>
    <xf numFmtId="0" fontId="16" fillId="0" borderId="0" xfId="4"/>
    <xf numFmtId="0" fontId="0" fillId="0" borderId="0" xfId="0" applyAlignment="1">
      <alignment horizontal="left" indent="4"/>
    </xf>
    <xf numFmtId="0" fontId="2" fillId="0" borderId="9" xfId="0" applyFont="1" applyBorder="1" applyAlignment="1">
      <alignment horizontal="center"/>
    </xf>
    <xf numFmtId="172" fontId="0" fillId="0" borderId="0" xfId="0" applyNumberFormat="1" applyFont="1"/>
    <xf numFmtId="173" fontId="0" fillId="0" borderId="0" xfId="0" applyNumberFormat="1" applyFont="1" applyAlignment="1">
      <alignment horizontal="center"/>
    </xf>
    <xf numFmtId="172" fontId="0" fillId="0" borderId="0" xfId="0" applyNumberFormat="1" applyAlignment="1">
      <alignment horizontal="right"/>
    </xf>
    <xf numFmtId="0" fontId="17" fillId="0" borderId="0" xfId="0" applyFont="1" applyAlignment="1">
      <alignment horizontal="center"/>
    </xf>
    <xf numFmtId="171" fontId="3" fillId="0" borderId="0" xfId="2" applyNumberFormat="1" applyFont="1" applyFill="1"/>
    <xf numFmtId="168" fontId="13" fillId="4" borderId="0" xfId="2" applyNumberFormat="1" applyFont="1" applyFill="1" applyAlignment="1">
      <alignment horizontal="left" indent="1"/>
    </xf>
    <xf numFmtId="6" fontId="0" fillId="0" borderId="0" xfId="0" applyNumberFormat="1" applyFont="1" applyFill="1" applyAlignment="1">
      <alignment horizontal="right"/>
    </xf>
    <xf numFmtId="43" fontId="13" fillId="0" borderId="0" xfId="1" applyFont="1" applyFill="1"/>
    <xf numFmtId="9" fontId="2" fillId="0" borderId="0" xfId="0" applyNumberFormat="1" applyFont="1" applyAlignment="1">
      <alignment horizontal="right"/>
    </xf>
    <xf numFmtId="0" fontId="0" fillId="0" borderId="0" xfId="0" applyFill="1" applyAlignment="1">
      <alignment horizontal="left" indent="2"/>
    </xf>
    <xf numFmtId="174" fontId="2" fillId="0" borderId="0" xfId="0" applyNumberFormat="1" applyFont="1" applyAlignment="1">
      <alignment horizontal="center"/>
    </xf>
    <xf numFmtId="38" fontId="0" fillId="0" borderId="0" xfId="0" applyNumberFormat="1"/>
    <xf numFmtId="174" fontId="0" fillId="0" borderId="0" xfId="0" applyNumberFormat="1"/>
    <xf numFmtId="38" fontId="0" fillId="0" borderId="0" xfId="0" applyNumberFormat="1" applyFill="1"/>
    <xf numFmtId="38" fontId="2" fillId="0" borderId="0" xfId="0" applyNumberFormat="1" applyFont="1"/>
    <xf numFmtId="174" fontId="2" fillId="0" borderId="0" xfId="0" applyNumberFormat="1" applyFont="1"/>
    <xf numFmtId="0" fontId="0" fillId="0" borderId="0" xfId="0" applyAlignment="1">
      <alignment horizontal="left"/>
    </xf>
    <xf numFmtId="167" fontId="0" fillId="0" borderId="0" xfId="0" applyNumberFormat="1"/>
    <xf numFmtId="38" fontId="0" fillId="4" borderId="0" xfId="0" applyNumberFormat="1" applyFill="1"/>
    <xf numFmtId="168" fontId="4" fillId="0" borderId="0" xfId="0" applyNumberFormat="1" applyFont="1" applyFill="1"/>
    <xf numFmtId="168" fontId="4" fillId="0" borderId="0" xfId="0" applyNumberFormat="1" applyFont="1"/>
    <xf numFmtId="168" fontId="2" fillId="0" borderId="2" xfId="0" applyNumberFormat="1" applyFont="1" applyFill="1" applyBorder="1"/>
    <xf numFmtId="168" fontId="4" fillId="0" borderId="0" xfId="2" applyNumberFormat="1" applyFont="1" applyFill="1"/>
    <xf numFmtId="0" fontId="2" fillId="0" borderId="0" xfId="0" applyFont="1" applyAlignment="1">
      <alignment horizontal="left"/>
    </xf>
    <xf numFmtId="168" fontId="2" fillId="0" borderId="0" xfId="0" applyNumberFormat="1" applyFont="1" applyFill="1"/>
    <xf numFmtId="38" fontId="0" fillId="0" borderId="0" xfId="0" applyNumberFormat="1" applyFont="1"/>
    <xf numFmtId="175" fontId="0" fillId="0" borderId="0" xfId="0" applyNumberFormat="1" applyFont="1"/>
    <xf numFmtId="0" fontId="0" fillId="0" borderId="0" xfId="0" applyFont="1" applyAlignment="1">
      <alignment horizontal="left" indent="2"/>
    </xf>
    <xf numFmtId="0" fontId="15" fillId="0" borderId="0" xfId="0" applyFont="1" applyFill="1" applyBorder="1" applyAlignment="1">
      <alignment horizontal="center" vertical="center"/>
    </xf>
    <xf numFmtId="38" fontId="0" fillId="0" borderId="0" xfId="2" applyNumberFormat="1" applyFont="1" applyFill="1"/>
    <xf numFmtId="168" fontId="0" fillId="0" borderId="0" xfId="0" applyNumberFormat="1" applyAlignment="1">
      <alignment horizontal="left" indent="2"/>
    </xf>
    <xf numFmtId="168" fontId="2" fillId="0" borderId="0" xfId="0" applyNumberFormat="1" applyFont="1"/>
    <xf numFmtId="175" fontId="0" fillId="4" borderId="0" xfId="0" applyNumberFormat="1" applyFont="1" applyFill="1"/>
    <xf numFmtId="38" fontId="0" fillId="4" borderId="0" xfId="0" applyNumberFormat="1" applyFont="1" applyFill="1"/>
    <xf numFmtId="168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2"/>
    </xf>
    <xf numFmtId="0" fontId="0" fillId="0" borderId="0" xfId="0" applyAlignment="1">
      <alignment horizontal="left" indent="6"/>
    </xf>
    <xf numFmtId="174" fontId="0" fillId="0" borderId="1" xfId="0" applyNumberFormat="1" applyBorder="1"/>
    <xf numFmtId="174" fontId="0" fillId="0" borderId="1" xfId="0" applyNumberFormat="1" applyBorder="1" applyAlignment="1">
      <alignment horizontal="right"/>
    </xf>
    <xf numFmtId="1" fontId="0" fillId="0" borderId="0" xfId="0" applyNumberFormat="1"/>
    <xf numFmtId="1" fontId="0" fillId="4" borderId="0" xfId="0" applyNumberFormat="1" applyFill="1"/>
    <xf numFmtId="0" fontId="0" fillId="0" borderId="0" xfId="0" applyBorder="1"/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169" fontId="0" fillId="0" borderId="26" xfId="1" applyNumberFormat="1" applyFont="1" applyFill="1" applyBorder="1" applyAlignment="1">
      <alignment vertical="center"/>
    </xf>
    <xf numFmtId="169" fontId="0" fillId="0" borderId="0" xfId="0" applyNumberFormat="1"/>
    <xf numFmtId="0" fontId="2" fillId="0" borderId="30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169" fontId="0" fillId="0" borderId="31" xfId="1" applyNumberFormat="1" applyFont="1" applyFill="1" applyBorder="1"/>
    <xf numFmtId="0" fontId="0" fillId="0" borderId="33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167" fontId="0" fillId="0" borderId="28" xfId="0" applyNumberForma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0" fontId="20" fillId="0" borderId="0" xfId="0" applyFont="1" applyAlignment="1"/>
    <xf numFmtId="0" fontId="18" fillId="0" borderId="0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38" fontId="0" fillId="0" borderId="38" xfId="0" applyNumberFormat="1" applyBorder="1" applyAlignment="1">
      <alignment horizontal="right" vertical="center"/>
    </xf>
    <xf numFmtId="169" fontId="0" fillId="0" borderId="39" xfId="1" applyNumberFormat="1" applyFont="1" applyBorder="1" applyAlignment="1">
      <alignment vertical="center"/>
    </xf>
    <xf numFmtId="169" fontId="0" fillId="0" borderId="0" xfId="1" applyNumberFormat="1" applyFont="1"/>
    <xf numFmtId="0" fontId="18" fillId="0" borderId="10" xfId="0" applyFont="1" applyBorder="1" applyAlignment="1">
      <alignment horizontal="left"/>
    </xf>
    <xf numFmtId="38" fontId="0" fillId="0" borderId="25" xfId="0" applyNumberFormat="1" applyBorder="1" applyAlignment="1">
      <alignment horizontal="right" vertical="center"/>
    </xf>
    <xf numFmtId="169" fontId="0" fillId="0" borderId="5" xfId="1" applyNumberFormat="1" applyFont="1" applyBorder="1" applyAlignment="1">
      <alignment vertical="center"/>
    </xf>
    <xf numFmtId="0" fontId="0" fillId="0" borderId="0" xfId="0" applyAlignment="1">
      <alignment horizontal="left" wrapText="1"/>
    </xf>
    <xf numFmtId="10" fontId="0" fillId="0" borderId="0" xfId="3" applyNumberFormat="1" applyFont="1"/>
    <xf numFmtId="167" fontId="0" fillId="0" borderId="0" xfId="0" applyNumberFormat="1" applyAlignment="1">
      <alignment horizontal="center"/>
    </xf>
    <xf numFmtId="0" fontId="18" fillId="0" borderId="0" xfId="0" applyFont="1" applyBorder="1" applyAlignment="1">
      <alignment horizontal="left"/>
    </xf>
    <xf numFmtId="0" fontId="20" fillId="0" borderId="0" xfId="0" applyFont="1" applyBorder="1" applyAlignment="1"/>
    <xf numFmtId="0" fontId="0" fillId="0" borderId="37" xfId="0" applyBorder="1" applyAlignment="1">
      <alignment horizontal="center" wrapText="1"/>
    </xf>
    <xf numFmtId="0" fontId="2" fillId="0" borderId="37" xfId="0" applyFont="1" applyBorder="1" applyAlignment="1">
      <alignment vertical="center"/>
    </xf>
    <xf numFmtId="0" fontId="0" fillId="0" borderId="37" xfId="0" applyBorder="1"/>
    <xf numFmtId="0" fontId="0" fillId="0" borderId="39" xfId="0" applyBorder="1" applyAlignment="1">
      <alignment vertical="center"/>
    </xf>
    <xf numFmtId="0" fontId="0" fillId="0" borderId="0" xfId="0" applyBorder="1" applyAlignment="1">
      <alignment wrapText="1"/>
    </xf>
    <xf numFmtId="0" fontId="2" fillId="0" borderId="0" xfId="0" applyFont="1" applyBorder="1" applyAlignment="1"/>
    <xf numFmtId="0" fontId="0" fillId="0" borderId="37" xfId="0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0" fillId="0" borderId="37" xfId="0" applyFill="1" applyBorder="1" applyAlignment="1">
      <alignment vertical="center"/>
    </xf>
    <xf numFmtId="0" fontId="0" fillId="0" borderId="37" xfId="0" applyBorder="1" applyAlignment="1">
      <alignment vertical="center"/>
    </xf>
    <xf numFmtId="0" fontId="2" fillId="0" borderId="37" xfId="0" applyFont="1" applyBorder="1" applyAlignment="1">
      <alignment wrapText="1"/>
    </xf>
    <xf numFmtId="0" fontId="0" fillId="0" borderId="12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38" fontId="0" fillId="0" borderId="0" xfId="0" applyNumberFormat="1" applyFill="1" applyBorder="1" applyAlignment="1">
      <alignment horizontal="right"/>
    </xf>
    <xf numFmtId="169" fontId="0" fillId="0" borderId="0" xfId="1" applyNumberFormat="1" applyFont="1" applyFill="1" applyBorder="1"/>
    <xf numFmtId="0" fontId="0" fillId="6" borderId="1" xfId="0" applyFill="1" applyBorder="1"/>
    <xf numFmtId="0" fontId="0" fillId="0" borderId="0" xfId="0" quotePrefix="1" applyFill="1" applyBorder="1" applyAlignment="1">
      <alignment horizontal="left"/>
    </xf>
    <xf numFmtId="38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left" vertical="center"/>
    </xf>
    <xf numFmtId="0" fontId="25" fillId="0" borderId="8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38" fontId="22" fillId="0" borderId="1" xfId="0" applyNumberFormat="1" applyFont="1" applyFill="1" applyBorder="1" applyAlignment="1">
      <alignment horizontal="right" vertical="center"/>
    </xf>
    <xf numFmtId="38" fontId="0" fillId="0" borderId="0" xfId="0" applyNumberForma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 wrapText="1"/>
    </xf>
    <xf numFmtId="38" fontId="22" fillId="0" borderId="6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38" fontId="0" fillId="0" borderId="1" xfId="0" applyNumberFormat="1" applyFill="1" applyBorder="1" applyAlignment="1">
      <alignment horizontal="right" vertical="center"/>
    </xf>
    <xf numFmtId="38" fontId="0" fillId="0" borderId="9" xfId="0" applyNumberFormat="1" applyBorder="1"/>
    <xf numFmtId="174" fontId="0" fillId="0" borderId="0" xfId="0" applyNumberFormat="1" applyFill="1" applyBorder="1" applyAlignment="1">
      <alignment horizontal="right" vertical="center"/>
    </xf>
    <xf numFmtId="0" fontId="26" fillId="0" borderId="0" xfId="0" applyFont="1"/>
    <xf numFmtId="0" fontId="2" fillId="0" borderId="9" xfId="0" applyFont="1" applyBorder="1" applyAlignment="1">
      <alignment horizontal="center" wrapText="1"/>
    </xf>
    <xf numFmtId="0" fontId="2" fillId="0" borderId="9" xfId="0" applyFont="1" applyBorder="1"/>
    <xf numFmtId="0" fontId="2" fillId="0" borderId="0" xfId="0" applyFont="1" applyFill="1" applyBorder="1" applyAlignment="1"/>
    <xf numFmtId="1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176" fontId="2" fillId="0" borderId="0" xfId="1" applyNumberFormat="1" applyFont="1" applyBorder="1" applyAlignment="1">
      <alignment horizontal="center" wrapText="1"/>
    </xf>
    <xf numFmtId="0" fontId="0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8" borderId="0" xfId="0" applyFont="1" applyFill="1" applyAlignment="1">
      <alignment horizontal="left" indent="2"/>
    </xf>
    <xf numFmtId="0" fontId="0" fillId="8" borderId="0" xfId="0" applyFill="1"/>
    <xf numFmtId="14" fontId="2" fillId="8" borderId="0" xfId="0" applyNumberFormat="1" applyFont="1" applyFill="1" applyBorder="1" applyAlignment="1">
      <alignment horizontal="center" wrapText="1"/>
    </xf>
    <xf numFmtId="0" fontId="2" fillId="8" borderId="0" xfId="0" applyFont="1" applyFill="1" applyBorder="1" applyAlignment="1">
      <alignment horizontal="center" wrapText="1"/>
    </xf>
    <xf numFmtId="0" fontId="2" fillId="8" borderId="0" xfId="0" applyFont="1" applyFill="1" applyBorder="1"/>
    <xf numFmtId="176" fontId="2" fillId="8" borderId="0" xfId="1" applyNumberFormat="1" applyFont="1" applyFill="1" applyBorder="1" applyAlignment="1">
      <alignment horizontal="center" wrapText="1"/>
    </xf>
    <xf numFmtId="0" fontId="0" fillId="8" borderId="0" xfId="0" applyFont="1" applyFill="1" applyBorder="1" applyAlignment="1">
      <alignment horizontal="left"/>
    </xf>
    <xf numFmtId="0" fontId="2" fillId="8" borderId="0" xfId="0" applyFont="1" applyFill="1" applyBorder="1" applyAlignment="1">
      <alignment horizontal="left" wrapText="1"/>
    </xf>
    <xf numFmtId="0" fontId="2" fillId="8" borderId="0" xfId="0" applyFont="1" applyFill="1" applyBorder="1" applyAlignment="1"/>
    <xf numFmtId="14" fontId="2" fillId="0" borderId="0" xfId="0" applyNumberFormat="1" applyFont="1"/>
    <xf numFmtId="0" fontId="2" fillId="0" borderId="0" xfId="0" applyFont="1" applyFill="1" applyAlignment="1">
      <alignment horizontal="left"/>
    </xf>
    <xf numFmtId="14" fontId="0" fillId="0" borderId="0" xfId="0" applyNumberFormat="1"/>
    <xf numFmtId="0" fontId="0" fillId="0" borderId="0" xfId="0" applyAlignment="1">
      <alignment horizontal="right"/>
    </xf>
    <xf numFmtId="20" fontId="0" fillId="0" borderId="0" xfId="0" applyNumberFormat="1"/>
    <xf numFmtId="9" fontId="0" fillId="0" borderId="0" xfId="3" applyFont="1"/>
    <xf numFmtId="20" fontId="0" fillId="5" borderId="0" xfId="0" applyNumberFormat="1" applyFill="1"/>
    <xf numFmtId="0" fontId="0" fillId="5" borderId="0" xfId="0" applyFill="1"/>
    <xf numFmtId="1" fontId="0" fillId="5" borderId="0" xfId="0" applyNumberFormat="1" applyFill="1"/>
    <xf numFmtId="1" fontId="0" fillId="9" borderId="0" xfId="0" applyNumberFormat="1" applyFill="1"/>
    <xf numFmtId="0" fontId="0" fillId="0" borderId="0" xfId="0" applyAlignment="1">
      <alignment horizontal="center"/>
    </xf>
    <xf numFmtId="38" fontId="2" fillId="0" borderId="9" xfId="0" applyNumberFormat="1" applyFont="1" applyBorder="1"/>
    <xf numFmtId="0" fontId="0" fillId="0" borderId="48" xfId="0" applyBorder="1"/>
    <xf numFmtId="0" fontId="0" fillId="0" borderId="49" xfId="0" applyBorder="1"/>
    <xf numFmtId="14" fontId="0" fillId="0" borderId="50" xfId="0" applyNumberFormat="1" applyBorder="1"/>
    <xf numFmtId="0" fontId="0" fillId="0" borderId="51" xfId="0" applyBorder="1"/>
    <xf numFmtId="20" fontId="0" fillId="0" borderId="52" xfId="0" applyNumberFormat="1" applyBorder="1"/>
    <xf numFmtId="9" fontId="0" fillId="0" borderId="53" xfId="3" applyFont="1" applyBorder="1"/>
    <xf numFmtId="20" fontId="0" fillId="5" borderId="52" xfId="0" applyNumberFormat="1" applyFill="1" applyBorder="1"/>
    <xf numFmtId="9" fontId="0" fillId="0" borderId="53" xfId="0" applyNumberFormat="1" applyBorder="1"/>
    <xf numFmtId="0" fontId="0" fillId="0" borderId="53" xfId="0" applyBorder="1"/>
    <xf numFmtId="20" fontId="0" fillId="0" borderId="54" xfId="0" applyNumberFormat="1" applyBorder="1"/>
    <xf numFmtId="0" fontId="0" fillId="0" borderId="55" xfId="0" applyBorder="1"/>
    <xf numFmtId="0" fontId="0" fillId="0" borderId="56" xfId="0" applyBorder="1"/>
    <xf numFmtId="0" fontId="0" fillId="5" borderId="49" xfId="0" applyFill="1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50" xfId="0" applyBorder="1" applyAlignment="1">
      <alignment horizontal="right"/>
    </xf>
    <xf numFmtId="0" fontId="0" fillId="0" borderId="51" xfId="0" applyBorder="1" applyAlignment="1">
      <alignment horizontal="right"/>
    </xf>
    <xf numFmtId="0" fontId="0" fillId="0" borderId="52" xfId="0" applyBorder="1"/>
    <xf numFmtId="0" fontId="0" fillId="0" borderId="52" xfId="0" applyFill="1" applyBorder="1"/>
    <xf numFmtId="0" fontId="0" fillId="0" borderId="53" xfId="0" applyFill="1" applyBorder="1"/>
    <xf numFmtId="0" fontId="0" fillId="0" borderId="54" xfId="0" applyBorder="1"/>
    <xf numFmtId="0" fontId="0" fillId="0" borderId="50" xfId="0" applyBorder="1"/>
    <xf numFmtId="0" fontId="0" fillId="0" borderId="60" xfId="0" applyBorder="1"/>
    <xf numFmtId="0" fontId="0" fillId="0" borderId="61" xfId="0" applyBorder="1"/>
    <xf numFmtId="1" fontId="0" fillId="0" borderId="62" xfId="0" applyNumberFormat="1" applyBorder="1"/>
    <xf numFmtId="1" fontId="0" fillId="5" borderId="62" xfId="0" applyNumberFormat="1" applyFill="1" applyBorder="1"/>
    <xf numFmtId="1" fontId="0" fillId="9" borderId="62" xfId="0" applyNumberFormat="1" applyFill="1" applyBorder="1"/>
    <xf numFmtId="1" fontId="0" fillId="0" borderId="63" xfId="0" applyNumberFormat="1" applyBorder="1"/>
    <xf numFmtId="0" fontId="0" fillId="0" borderId="64" xfId="0" applyBorder="1"/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9" fontId="0" fillId="0" borderId="52" xfId="3" applyFont="1" applyBorder="1"/>
    <xf numFmtId="9" fontId="0" fillId="0" borderId="54" xfId="3" applyFont="1" applyBorder="1"/>
    <xf numFmtId="0" fontId="3" fillId="0" borderId="0" xfId="0" applyFont="1" applyAlignment="1">
      <alignment horizontal="left" indent="2"/>
    </xf>
    <xf numFmtId="38" fontId="3" fillId="0" borderId="0" xfId="0" applyNumberFormat="1" applyFont="1"/>
    <xf numFmtId="174" fontId="3" fillId="0" borderId="0" xfId="0" applyNumberFormat="1" applyFont="1"/>
    <xf numFmtId="174" fontId="3" fillId="0" borderId="0" xfId="0" applyNumberFormat="1" applyFont="1" applyFill="1"/>
    <xf numFmtId="38" fontId="3" fillId="0" borderId="0" xfId="0" applyNumberFormat="1" applyFont="1" applyFill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indent="1"/>
    </xf>
    <xf numFmtId="174" fontId="0" fillId="0" borderId="0" xfId="0" applyNumberFormat="1" applyFont="1"/>
    <xf numFmtId="167" fontId="0" fillId="0" borderId="0" xfId="0" applyNumberFormat="1" applyFont="1"/>
    <xf numFmtId="38" fontId="0" fillId="0" borderId="0" xfId="0" applyNumberFormat="1" applyFont="1" applyFill="1"/>
    <xf numFmtId="174" fontId="0" fillId="0" borderId="0" xfId="0" applyNumberFormat="1" applyFont="1" applyFill="1"/>
    <xf numFmtId="3" fontId="0" fillId="0" borderId="0" xfId="0" applyNumberFormat="1" applyFont="1"/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9" xfId="0" applyFont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9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7" fillId="0" borderId="0" xfId="0" applyFont="1" applyAlignment="1">
      <alignment horizontal="left" indent="2"/>
    </xf>
    <xf numFmtId="0" fontId="27" fillId="0" borderId="0" xfId="0" applyFont="1"/>
    <xf numFmtId="0" fontId="28" fillId="0" borderId="2" xfId="0" applyFont="1" applyBorder="1" applyAlignment="1">
      <alignment horizontal="left"/>
    </xf>
    <xf numFmtId="0" fontId="18" fillId="0" borderId="48" xfId="0" applyFont="1" applyBorder="1" applyAlignment="1">
      <alignment horizontal="left"/>
    </xf>
    <xf numFmtId="0" fontId="0" fillId="0" borderId="47" xfId="0" applyBorder="1"/>
    <xf numFmtId="0" fontId="0" fillId="0" borderId="1" xfId="0" applyBorder="1" applyAlignment="1">
      <alignment horizontal="left" vertical="center"/>
    </xf>
    <xf numFmtId="38" fontId="0" fillId="0" borderId="1" xfId="0" applyNumberFormat="1" applyBorder="1" applyAlignment="1">
      <alignment horizontal="right" vertical="center"/>
    </xf>
    <xf numFmtId="169" fontId="0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38" fontId="3" fillId="0" borderId="1" xfId="0" applyNumberFormat="1" applyFont="1" applyBorder="1" applyAlignment="1">
      <alignment horizontal="right" vertical="center"/>
    </xf>
    <xf numFmtId="169" fontId="3" fillId="0" borderId="1" xfId="1" applyNumberFormat="1" applyFont="1" applyBorder="1" applyAlignment="1">
      <alignment vertical="center"/>
    </xf>
    <xf numFmtId="0" fontId="3" fillId="0" borderId="0" xfId="0" applyFont="1" applyBorder="1"/>
    <xf numFmtId="0" fontId="0" fillId="0" borderId="1" xfId="0" applyFill="1" applyBorder="1" applyAlignment="1">
      <alignment horizontal="left"/>
    </xf>
    <xf numFmtId="38" fontId="0" fillId="0" borderId="1" xfId="0" applyNumberFormat="1" applyFill="1" applyBorder="1" applyAlignment="1">
      <alignment horizontal="right"/>
    </xf>
    <xf numFmtId="169" fontId="0" fillId="0" borderId="1" xfId="1" applyNumberFormat="1" applyFont="1" applyFill="1" applyBorder="1"/>
    <xf numFmtId="174" fontId="0" fillId="0" borderId="0" xfId="0" applyNumberFormat="1" applyBorder="1" applyAlignment="1">
      <alignment horizontal="center"/>
    </xf>
    <xf numFmtId="38" fontId="0" fillId="0" borderId="0" xfId="0" applyNumberFormat="1" applyBorder="1" applyAlignment="1">
      <alignment horizontal="center"/>
    </xf>
    <xf numFmtId="169" fontId="18" fillId="0" borderId="0" xfId="0" applyNumberFormat="1" applyFont="1" applyBorder="1" applyAlignment="1">
      <alignment horizontal="center" wrapText="1"/>
    </xf>
    <xf numFmtId="169" fontId="19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6" borderId="1" xfId="0" applyFill="1" applyBorder="1" applyAlignment="1">
      <alignment horizontal="left"/>
    </xf>
    <xf numFmtId="38" fontId="0" fillId="6" borderId="1" xfId="0" applyNumberFormat="1" applyFill="1" applyBorder="1" applyAlignment="1">
      <alignment horizontal="right" vertical="center"/>
    </xf>
    <xf numFmtId="0" fontId="28" fillId="0" borderId="0" xfId="0" applyFont="1"/>
    <xf numFmtId="0" fontId="0" fillId="0" borderId="0" xfId="0" applyFill="1" applyBorder="1" applyAlignment="1">
      <alignment horizontal="left" indent="1"/>
    </xf>
    <xf numFmtId="38" fontId="0" fillId="0" borderId="67" xfId="0" applyNumberFormat="1" applyFill="1" applyBorder="1" applyAlignment="1">
      <alignment horizontal="right"/>
    </xf>
    <xf numFmtId="165" fontId="0" fillId="0" borderId="1" xfId="3" applyNumberFormat="1" applyFont="1" applyFill="1" applyBorder="1" applyAlignment="1">
      <alignment horizontal="right"/>
    </xf>
    <xf numFmtId="38" fontId="0" fillId="11" borderId="1" xfId="0" applyNumberFormat="1" applyFill="1" applyBorder="1" applyAlignment="1">
      <alignment horizontal="right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38" fontId="2" fillId="0" borderId="1" xfId="0" applyNumberFormat="1" applyFont="1" applyFill="1" applyBorder="1" applyAlignment="1">
      <alignment horizontal="right"/>
    </xf>
    <xf numFmtId="9" fontId="0" fillId="0" borderId="0" xfId="3" applyNumberFormat="1" applyFont="1"/>
    <xf numFmtId="9" fontId="0" fillId="0" borderId="68" xfId="3" applyNumberFormat="1" applyFont="1" applyBorder="1"/>
    <xf numFmtId="9" fontId="0" fillId="0" borderId="51" xfId="3" applyNumberFormat="1" applyFont="1" applyBorder="1"/>
    <xf numFmtId="9" fontId="0" fillId="0" borderId="69" xfId="3" applyNumberFormat="1" applyFont="1" applyBorder="1"/>
    <xf numFmtId="9" fontId="0" fillId="0" borderId="53" xfId="3" applyNumberFormat="1" applyFont="1" applyBorder="1"/>
    <xf numFmtId="0" fontId="0" fillId="0" borderId="69" xfId="0" applyBorder="1"/>
    <xf numFmtId="9" fontId="0" fillId="0" borderId="70" xfId="3" applyNumberFormat="1" applyFont="1" applyBorder="1"/>
    <xf numFmtId="9" fontId="0" fillId="0" borderId="55" xfId="3" applyNumberFormat="1" applyFont="1" applyBorder="1"/>
    <xf numFmtId="0" fontId="0" fillId="5" borderId="71" xfId="0" applyFill="1" applyBorder="1" applyAlignment="1">
      <alignment horizontal="center"/>
    </xf>
    <xf numFmtId="1" fontId="0" fillId="5" borderId="72" xfId="0" applyNumberFormat="1" applyFill="1" applyBorder="1" applyAlignment="1">
      <alignment horizontal="center"/>
    </xf>
    <xf numFmtId="0" fontId="0" fillId="5" borderId="73" xfId="0" applyFill="1" applyBorder="1" applyAlignment="1">
      <alignment horizontal="center"/>
    </xf>
    <xf numFmtId="0" fontId="0" fillId="0" borderId="52" xfId="0" applyBorder="1" applyAlignment="1">
      <alignment horizontal="center"/>
    </xf>
    <xf numFmtId="176" fontId="2" fillId="8" borderId="1" xfId="1" applyNumberFormat="1" applyFont="1" applyFill="1" applyBorder="1" applyAlignment="1">
      <alignment horizontal="center" wrapText="1"/>
    </xf>
    <xf numFmtId="9" fontId="0" fillId="0" borderId="0" xfId="3" applyNumberFormat="1" applyFont="1" applyBorder="1" applyAlignment="1">
      <alignment horizontal="center"/>
    </xf>
    <xf numFmtId="8" fontId="0" fillId="0" borderId="0" xfId="0" applyNumberFormat="1"/>
    <xf numFmtId="173" fontId="0" fillId="0" borderId="0" xfId="0" applyNumberFormat="1"/>
    <xf numFmtId="2" fontId="0" fillId="0" borderId="0" xfId="0" applyNumberFormat="1"/>
    <xf numFmtId="168" fontId="0" fillId="0" borderId="0" xfId="0" applyNumberFormat="1" applyFont="1" applyFill="1"/>
    <xf numFmtId="0" fontId="0" fillId="0" borderId="0" xfId="0" applyFont="1" applyAlignment="1">
      <alignment horizontal="left" indent="4"/>
    </xf>
    <xf numFmtId="168" fontId="2" fillId="0" borderId="0" xfId="0" applyNumberFormat="1" applyFont="1" applyAlignment="1">
      <alignment horizontal="left" indent="2"/>
    </xf>
    <xf numFmtId="168" fontId="0" fillId="0" borderId="0" xfId="2" applyNumberFormat="1" applyFont="1" applyAlignment="1">
      <alignment horizontal="left" indent="4"/>
    </xf>
    <xf numFmtId="168" fontId="0" fillId="0" borderId="0" xfId="0" applyNumberFormat="1" applyAlignment="1">
      <alignment horizontal="left" indent="4"/>
    </xf>
    <xf numFmtId="6" fontId="0" fillId="0" borderId="2" xfId="0" applyNumberFormat="1" applyFill="1" applyBorder="1"/>
    <xf numFmtId="6" fontId="2" fillId="0" borderId="2" xfId="0" applyNumberFormat="1" applyFont="1" applyFill="1" applyBorder="1"/>
    <xf numFmtId="0" fontId="0" fillId="0" borderId="0" xfId="0" quotePrefix="1" applyFont="1"/>
    <xf numFmtId="0" fontId="0" fillId="0" borderId="73" xfId="0" applyFill="1" applyBorder="1" applyAlignment="1">
      <alignment horizontal="center"/>
    </xf>
    <xf numFmtId="9" fontId="0" fillId="0" borderId="74" xfId="3" applyNumberFormat="1" applyFont="1" applyBorder="1"/>
    <xf numFmtId="168" fontId="0" fillId="0" borderId="2" xfId="0" applyNumberFormat="1" applyFont="1" applyFill="1" applyBorder="1"/>
    <xf numFmtId="0" fontId="0" fillId="0" borderId="0" xfId="0" applyFill="1" applyBorder="1"/>
    <xf numFmtId="1" fontId="0" fillId="9" borderId="0" xfId="0" applyNumberFormat="1" applyFill="1" applyBorder="1"/>
    <xf numFmtId="9" fontId="0" fillId="0" borderId="0" xfId="3" applyFont="1" applyBorder="1"/>
    <xf numFmtId="9" fontId="0" fillId="0" borderId="2" xfId="0" applyNumberFormat="1" applyBorder="1"/>
    <xf numFmtId="1" fontId="0" fillId="0" borderId="0" xfId="0" applyNumberFormat="1" applyBorder="1"/>
    <xf numFmtId="0" fontId="0" fillId="5" borderId="0" xfId="0" applyFill="1" applyBorder="1"/>
    <xf numFmtId="1" fontId="0" fillId="5" borderId="0" xfId="0" applyNumberFormat="1" applyFill="1" applyBorder="1"/>
    <xf numFmtId="0" fontId="0" fillId="0" borderId="9" xfId="0" applyBorder="1"/>
    <xf numFmtId="1" fontId="0" fillId="0" borderId="9" xfId="0" applyNumberFormat="1" applyBorder="1"/>
    <xf numFmtId="9" fontId="0" fillId="0" borderId="9" xfId="3" applyFont="1" applyBorder="1"/>
    <xf numFmtId="0" fontId="0" fillId="0" borderId="46" xfId="0" applyBorder="1"/>
    <xf numFmtId="20" fontId="0" fillId="0" borderId="58" xfId="0" applyNumberFormat="1" applyBorder="1"/>
    <xf numFmtId="0" fontId="0" fillId="0" borderId="67" xfId="0" applyBorder="1"/>
    <xf numFmtId="0" fontId="0" fillId="0" borderId="67" xfId="0" applyBorder="1" applyAlignment="1">
      <alignment horizontal="right"/>
    </xf>
    <xf numFmtId="1" fontId="0" fillId="0" borderId="67" xfId="0" applyNumberFormat="1" applyBorder="1"/>
    <xf numFmtId="9" fontId="0" fillId="0" borderId="67" xfId="3" applyFont="1" applyBorder="1"/>
    <xf numFmtId="9" fontId="0" fillId="0" borderId="59" xfId="3" applyFont="1" applyBorder="1"/>
    <xf numFmtId="20" fontId="0" fillId="0" borderId="48" xfId="0" applyNumberFormat="1" applyBorder="1"/>
    <xf numFmtId="0" fontId="0" fillId="0" borderId="0" xfId="0" applyBorder="1" applyAlignment="1">
      <alignment horizontal="right"/>
    </xf>
    <xf numFmtId="9" fontId="0" fillId="0" borderId="2" xfId="3" applyFont="1" applyBorder="1"/>
    <xf numFmtId="20" fontId="0" fillId="5" borderId="48" xfId="0" applyNumberFormat="1" applyFill="1" applyBorder="1"/>
    <xf numFmtId="20" fontId="0" fillId="0" borderId="47" xfId="0" applyNumberFormat="1" applyBorder="1"/>
    <xf numFmtId="0" fontId="21" fillId="0" borderId="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top"/>
    </xf>
    <xf numFmtId="0" fontId="2" fillId="0" borderId="1" xfId="0" applyFont="1" applyBorder="1" applyAlignment="1">
      <alignment wrapText="1"/>
    </xf>
    <xf numFmtId="38" fontId="0" fillId="0" borderId="1" xfId="0" applyNumberFormat="1" applyBorder="1"/>
    <xf numFmtId="38" fontId="1" fillId="0" borderId="45" xfId="0" applyNumberFormat="1" applyFont="1" applyBorder="1"/>
    <xf numFmtId="174" fontId="1" fillId="0" borderId="45" xfId="0" applyNumberFormat="1" applyFont="1" applyBorder="1"/>
    <xf numFmtId="174" fontId="0" fillId="0" borderId="45" xfId="0" applyNumberFormat="1" applyBorder="1" applyAlignment="1">
      <alignment horizontal="right"/>
    </xf>
    <xf numFmtId="38" fontId="0" fillId="0" borderId="1" xfId="0" applyNumberFormat="1" applyFont="1" applyFill="1" applyBorder="1"/>
    <xf numFmtId="174" fontId="2" fillId="0" borderId="1" xfId="0" applyNumberFormat="1" applyFont="1" applyBorder="1" applyAlignment="1">
      <alignment horizontal="center" wrapText="1"/>
    </xf>
    <xf numFmtId="0" fontId="0" fillId="0" borderId="6" xfId="0" applyBorder="1" applyAlignment="1"/>
    <xf numFmtId="0" fontId="0" fillId="0" borderId="7" xfId="0" applyBorder="1" applyAlignment="1"/>
    <xf numFmtId="174" fontId="0" fillId="0" borderId="6" xfId="0" applyNumberFormat="1" applyBorder="1" applyAlignment="1"/>
    <xf numFmtId="174" fontId="0" fillId="0" borderId="7" xfId="0" applyNumberFormat="1" applyBorder="1" applyAlignment="1"/>
    <xf numFmtId="175" fontId="0" fillId="0" borderId="0" xfId="0" applyNumberFormat="1" applyFont="1" applyFill="1"/>
    <xf numFmtId="0" fontId="0" fillId="0" borderId="0" xfId="0" applyFont="1" applyFill="1"/>
    <xf numFmtId="0" fontId="29" fillId="0" borderId="1" xfId="0" applyFont="1" applyBorder="1"/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/>
    </xf>
    <xf numFmtId="6" fontId="0" fillId="0" borderId="0" xfId="0" applyNumberFormat="1" applyFill="1"/>
    <xf numFmtId="0" fontId="0" fillId="0" borderId="0" xfId="0" applyFont="1" applyFill="1" applyAlignment="1">
      <alignment horizontal="left" indent="2"/>
    </xf>
    <xf numFmtId="170" fontId="0" fillId="0" borderId="2" xfId="0" applyNumberFormat="1" applyBorder="1"/>
    <xf numFmtId="174" fontId="0" fillId="0" borderId="2" xfId="0" applyNumberFormat="1" applyFont="1" applyFill="1" applyBorder="1"/>
    <xf numFmtId="6" fontId="31" fillId="0" borderId="1" xfId="0" applyNumberFormat="1" applyFont="1" applyBorder="1" applyAlignment="1">
      <alignment horizontal="right" vertical="center"/>
    </xf>
    <xf numFmtId="0" fontId="0" fillId="12" borderId="0" xfId="0" applyFill="1"/>
    <xf numFmtId="44" fontId="0" fillId="0" borderId="0" xfId="2" applyFont="1"/>
    <xf numFmtId="0" fontId="0" fillId="0" borderId="75" xfId="0" applyBorder="1"/>
    <xf numFmtId="0" fontId="0" fillId="0" borderId="76" xfId="0" applyBorder="1"/>
    <xf numFmtId="0" fontId="32" fillId="0" borderId="0" xfId="0" applyFont="1"/>
    <xf numFmtId="0" fontId="0" fillId="0" borderId="77" xfId="0" applyBorder="1"/>
    <xf numFmtId="44" fontId="0" fillId="0" borderId="78" xfId="2" applyFont="1" applyBorder="1"/>
    <xf numFmtId="0" fontId="0" fillId="0" borderId="79" xfId="0" applyBorder="1"/>
    <xf numFmtId="44" fontId="0" fillId="0" borderId="80" xfId="2" applyFont="1" applyBorder="1"/>
    <xf numFmtId="0" fontId="0" fillId="0" borderId="81" xfId="0" applyBorder="1"/>
    <xf numFmtId="0" fontId="0" fillId="0" borderId="82" xfId="0" applyBorder="1"/>
    <xf numFmtId="44" fontId="0" fillId="0" borderId="0" xfId="0" applyNumberFormat="1"/>
    <xf numFmtId="0" fontId="0" fillId="0" borderId="83" xfId="0" applyBorder="1"/>
    <xf numFmtId="44" fontId="0" fillId="0" borderId="84" xfId="2" applyFont="1" applyBorder="1"/>
    <xf numFmtId="0" fontId="0" fillId="0" borderId="85" xfId="0" applyBorder="1"/>
    <xf numFmtId="44" fontId="0" fillId="0" borderId="86" xfId="2" applyFont="1" applyBorder="1"/>
    <xf numFmtId="0" fontId="33" fillId="0" borderId="0" xfId="0" applyFont="1" applyBorder="1"/>
    <xf numFmtId="0" fontId="33" fillId="0" borderId="0" xfId="0" applyFont="1"/>
    <xf numFmtId="0" fontId="33" fillId="0" borderId="0" xfId="0" applyFont="1" applyFill="1" applyBorder="1" applyAlignment="1"/>
    <xf numFmtId="0" fontId="33" fillId="0" borderId="0" xfId="0" applyFont="1" applyFill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6" fontId="33" fillId="0" borderId="0" xfId="2" applyNumberFormat="1" applyFont="1" applyBorder="1"/>
    <xf numFmtId="6" fontId="33" fillId="0" borderId="0" xfId="0" applyNumberFormat="1" applyFont="1"/>
    <xf numFmtId="0" fontId="33" fillId="0" borderId="0" xfId="0" applyFont="1" applyFill="1" applyBorder="1"/>
    <xf numFmtId="6" fontId="13" fillId="0" borderId="0" xfId="0" applyNumberFormat="1" applyFont="1" applyFill="1" applyAlignment="1">
      <alignment horizontal="right"/>
    </xf>
    <xf numFmtId="9" fontId="13" fillId="0" borderId="0" xfId="3" applyFont="1" applyFill="1" applyAlignment="1">
      <alignment horizontal="right"/>
    </xf>
    <xf numFmtId="6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12" borderId="0" xfId="0" applyFill="1" applyAlignment="1">
      <alignment horizontal="center"/>
    </xf>
    <xf numFmtId="0" fontId="0" fillId="12" borderId="77" xfId="0" applyFill="1" applyBorder="1" applyAlignment="1">
      <alignment horizontal="center"/>
    </xf>
    <xf numFmtId="0" fontId="0" fillId="12" borderId="78" xfId="0" applyFill="1" applyBorder="1" applyAlignment="1">
      <alignment horizontal="center"/>
    </xf>
    <xf numFmtId="0" fontId="0" fillId="12" borderId="83" xfId="0" applyFill="1" applyBorder="1" applyAlignment="1">
      <alignment horizontal="center"/>
    </xf>
    <xf numFmtId="0" fontId="0" fillId="12" borderId="84" xfId="0" applyFill="1" applyBorder="1" applyAlignment="1">
      <alignment horizontal="center"/>
    </xf>
    <xf numFmtId="38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 wrapText="1"/>
    </xf>
    <xf numFmtId="14" fontId="2" fillId="0" borderId="7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8" borderId="65" xfId="0" applyFill="1" applyBorder="1" applyAlignment="1">
      <alignment horizontal="center" vertical="center"/>
    </xf>
    <xf numFmtId="0" fontId="0" fillId="10" borderId="65" xfId="0" applyFill="1" applyBorder="1" applyAlignment="1">
      <alignment horizontal="center" vertical="center"/>
    </xf>
    <xf numFmtId="0" fontId="0" fillId="10" borderId="66" xfId="0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4" fontId="2" fillId="0" borderId="9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1" fontId="0" fillId="5" borderId="71" xfId="0" applyNumberFormat="1" applyFill="1" applyBorder="1" applyAlignment="1">
      <alignment horizontal="center" vertical="center"/>
    </xf>
    <xf numFmtId="1" fontId="0" fillId="5" borderId="72" xfId="0" applyNumberFormat="1" applyFill="1" applyBorder="1" applyAlignment="1">
      <alignment horizontal="center" vertical="center"/>
    </xf>
    <xf numFmtId="0" fontId="2" fillId="0" borderId="48" xfId="0" applyFont="1" applyBorder="1" applyAlignment="1">
      <alignment horizontal="center" wrapText="1"/>
    </xf>
    <xf numFmtId="0" fontId="0" fillId="8" borderId="67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74" fontId="0" fillId="0" borderId="6" xfId="0" applyNumberFormat="1" applyFill="1" applyBorder="1" applyAlignment="1">
      <alignment horizontal="center"/>
    </xf>
    <xf numFmtId="174" fontId="0" fillId="0" borderId="8" xfId="0" applyNumberFormat="1" applyFill="1" applyBorder="1" applyAlignment="1">
      <alignment horizontal="center"/>
    </xf>
    <xf numFmtId="174" fontId="0" fillId="0" borderId="7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8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174" fontId="0" fillId="0" borderId="1" xfId="0" applyNumberFormat="1" applyFill="1" applyBorder="1" applyAlignment="1">
      <alignment horizontal="center"/>
    </xf>
    <xf numFmtId="38" fontId="0" fillId="0" borderId="1" xfId="0" applyNumberFormat="1" applyFill="1" applyBorder="1" applyAlignment="1">
      <alignment horizontal="center"/>
    </xf>
    <xf numFmtId="174" fontId="0" fillId="0" borderId="1" xfId="0" applyNumberFormat="1" applyBorder="1" applyAlignment="1">
      <alignment horizontal="center"/>
    </xf>
    <xf numFmtId="38" fontId="0" fillId="0" borderId="67" xfId="0" applyNumberFormat="1" applyFill="1" applyBorder="1" applyAlignment="1">
      <alignment horizontal="center"/>
    </xf>
    <xf numFmtId="38" fontId="0" fillId="0" borderId="7" xfId="0" applyNumberFormat="1" applyBorder="1" applyAlignment="1">
      <alignment horizontal="center"/>
    </xf>
    <xf numFmtId="38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69" fontId="0" fillId="0" borderId="43" xfId="1" applyNumberFormat="1" applyFont="1" applyBorder="1" applyAlignment="1">
      <alignment horizontal="center"/>
    </xf>
    <xf numFmtId="169" fontId="0" fillId="0" borderId="28" xfId="1" applyNumberFormat="1" applyFont="1" applyBorder="1" applyAlignment="1">
      <alignment horizontal="center"/>
    </xf>
    <xf numFmtId="169" fontId="0" fillId="0" borderId="44" xfId="1" applyNumberFormat="1" applyFont="1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2" fillId="0" borderId="3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3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37" fontId="0" fillId="0" borderId="43" xfId="1" applyNumberFormat="1" applyFont="1" applyBorder="1" applyAlignment="1">
      <alignment horizontal="center" vertical="center"/>
    </xf>
    <xf numFmtId="37" fontId="0" fillId="0" borderId="28" xfId="1" applyNumberFormat="1" applyFont="1" applyBorder="1" applyAlignment="1">
      <alignment horizontal="center" vertical="center"/>
    </xf>
    <xf numFmtId="37" fontId="0" fillId="0" borderId="44" xfId="1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Green\AppData\Local\Microsoft\Windows\Temporary%20Internet%20Files\Content.Outlook\P5JJ9G85\INFRA_BCA_Port_Stockton_CA_2017_October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yusuf\Documents\Projects\2018\LasVegas_BUILD_Grant_App\BCA%20Examples\From%20DPitzler\BCA%20Model%20I-15%20and%20CC215%20Dec%202016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NPV chart"/>
      <sheetName val="B_C_ratio chart"/>
      <sheetName val="NPV Details (Base Case)"/>
      <sheetName val="NPV Details (3.5% growth)"/>
      <sheetName val="Operating Costs No Growth"/>
      <sheetName val="Operating Costs 3.5% growth"/>
      <sheetName val="EmissionsReductionNoGrowth"/>
      <sheetName val="EmissionsReduction3.5%Growth"/>
      <sheetName val="ValueTravelTimeSavingsNoGrowth"/>
      <sheetName val="ValueTravelTimeSavingsLow"/>
      <sheetName val="ValueTravelTimeSavings3.5%Growt"/>
      <sheetName val="Emissions Factors"/>
      <sheetName val="GraphData"/>
      <sheetName val="Chart2"/>
      <sheetName val="Chart3"/>
      <sheetName val="CAPEX"/>
      <sheetName val="OPEX"/>
    </sheetNames>
    <sheetDataSet>
      <sheetData sheetId="0">
        <row r="8">
          <cell r="C8">
            <v>2016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Table"/>
      <sheetName val="NPVCalc"/>
      <sheetName val="Capital"/>
      <sheetName val="NPVCalcVert"/>
      <sheetName val="NPVCalcVertPV"/>
      <sheetName val="SumComparison"/>
      <sheetName val="NPVCalcPB"/>
      <sheetName val="Travel Time A2"/>
      <sheetName val="O&amp;M Cost_A3"/>
      <sheetName val="Crashes A4"/>
      <sheetName val="CrashTable"/>
      <sheetName val="Vehicle Op Costs A5"/>
      <sheetName val="OilImports_A9"/>
      <sheetName val="Fuel per mile"/>
    </sheetNames>
    <sheetDataSet>
      <sheetData sheetId="0">
        <row r="5">
          <cell r="D5">
            <v>7.0000000000000007E-2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apps.bea.gov/iTable/iTable.cfm?reqid=19&amp;step=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2"/>
  <sheetViews>
    <sheetView tabSelected="1" zoomScale="90" zoomScaleNormal="90" workbookViewId="0">
      <selection activeCell="A3" sqref="A3"/>
    </sheetView>
  </sheetViews>
  <sheetFormatPr defaultRowHeight="14.4"/>
  <cols>
    <col min="1" max="1" width="49.6640625" customWidth="1"/>
    <col min="2" max="3" width="14" customWidth="1"/>
    <col min="4" max="4" width="20.44140625" customWidth="1"/>
    <col min="5" max="5" width="37.33203125" hidden="1" customWidth="1"/>
    <col min="8" max="8" width="19.109375" customWidth="1"/>
    <col min="9" max="9" width="20.33203125" customWidth="1"/>
    <col min="10" max="11" width="12.88671875" customWidth="1"/>
    <col min="12" max="12" width="14.5546875" bestFit="1" customWidth="1"/>
    <col min="13" max="13" width="11.6640625" customWidth="1"/>
  </cols>
  <sheetData>
    <row r="1" spans="1:4">
      <c r="A1" s="7" t="s">
        <v>395</v>
      </c>
    </row>
    <row r="2" spans="1:4">
      <c r="A2" s="7" t="s">
        <v>2</v>
      </c>
    </row>
    <row r="3" spans="1:4">
      <c r="A3" s="7"/>
    </row>
    <row r="4" spans="1:4">
      <c r="A4" s="12" t="s">
        <v>1</v>
      </c>
      <c r="B4" s="41">
        <v>7.0000000000000007E-2</v>
      </c>
      <c r="C4" s="41"/>
      <c r="D4" s="12"/>
    </row>
    <row r="5" spans="1:4">
      <c r="A5" s="12" t="s">
        <v>8</v>
      </c>
      <c r="B5" s="43">
        <v>2021</v>
      </c>
      <c r="C5" s="43"/>
      <c r="D5" s="12"/>
    </row>
    <row r="6" spans="1:4">
      <c r="A6" s="12" t="s">
        <v>21</v>
      </c>
      <c r="B6" s="43">
        <v>2</v>
      </c>
      <c r="C6" s="43"/>
      <c r="D6" s="12"/>
    </row>
    <row r="7" spans="1:4">
      <c r="A7" s="12" t="s">
        <v>9</v>
      </c>
      <c r="B7" s="43">
        <v>2024</v>
      </c>
      <c r="C7" s="43"/>
      <c r="D7" s="44"/>
    </row>
    <row r="8" spans="1:4">
      <c r="A8" s="12" t="s">
        <v>323</v>
      </c>
      <c r="B8" s="81"/>
      <c r="C8" s="81"/>
      <c r="D8" s="12"/>
    </row>
    <row r="9" spans="1:4">
      <c r="A9" s="102" t="s">
        <v>178</v>
      </c>
      <c r="B9" s="81"/>
      <c r="C9" s="81"/>
      <c r="D9" s="12"/>
    </row>
    <row r="10" spans="1:4">
      <c r="A10" s="336" t="s">
        <v>322</v>
      </c>
      <c r="B10" s="415">
        <f>1020000+3170000+9500000</f>
        <v>13690000</v>
      </c>
      <c r="C10" s="81"/>
      <c r="D10" s="12"/>
    </row>
    <row r="11" spans="1:4">
      <c r="A11" s="336" t="s">
        <v>10</v>
      </c>
      <c r="B11" s="415">
        <f>22000000</f>
        <v>22000000</v>
      </c>
      <c r="C11" s="81"/>
      <c r="D11" s="12"/>
    </row>
    <row r="12" spans="1:4">
      <c r="A12" s="102" t="s">
        <v>57</v>
      </c>
      <c r="B12" s="415"/>
      <c r="C12" s="81"/>
      <c r="D12" s="12"/>
    </row>
    <row r="13" spans="1:4">
      <c r="A13" s="336" t="s">
        <v>322</v>
      </c>
      <c r="B13" s="415">
        <f>2000000+5500000+3800000</f>
        <v>11300000</v>
      </c>
      <c r="C13" s="81"/>
      <c r="D13" s="12"/>
    </row>
    <row r="14" spans="1:4">
      <c r="A14" s="336" t="s">
        <v>10</v>
      </c>
      <c r="B14" s="415">
        <f>36400000</f>
        <v>36400000</v>
      </c>
      <c r="C14" s="81"/>
      <c r="D14" s="12"/>
    </row>
    <row r="15" spans="1:4">
      <c r="A15" s="268" t="s">
        <v>324</v>
      </c>
      <c r="B15" s="416">
        <v>0.4</v>
      </c>
      <c r="C15" s="81"/>
      <c r="D15" s="12"/>
    </row>
    <row r="16" spans="1:4">
      <c r="A16" s="268" t="s">
        <v>328</v>
      </c>
      <c r="B16" s="416">
        <v>0.3</v>
      </c>
      <c r="C16" s="81"/>
      <c r="D16" s="12"/>
    </row>
    <row r="17" spans="1:11">
      <c r="A17" s="268" t="s">
        <v>329</v>
      </c>
      <c r="B17" s="416">
        <v>0.3</v>
      </c>
      <c r="C17" s="81"/>
      <c r="D17" s="12"/>
    </row>
    <row r="18" spans="1:11">
      <c r="A18" s="268" t="s">
        <v>325</v>
      </c>
      <c r="B18" s="416">
        <v>0.6</v>
      </c>
      <c r="C18" s="81"/>
      <c r="D18" s="12"/>
    </row>
    <row r="19" spans="1:11">
      <c r="A19" s="268" t="s">
        <v>326</v>
      </c>
      <c r="B19" s="416">
        <v>0.4</v>
      </c>
      <c r="C19" s="81"/>
      <c r="D19" s="12"/>
    </row>
    <row r="20" spans="1:11">
      <c r="A20" s="12" t="s">
        <v>124</v>
      </c>
      <c r="B20" s="43">
        <v>50</v>
      </c>
      <c r="C20" s="43"/>
      <c r="D20" s="12"/>
    </row>
    <row r="21" spans="1:11">
      <c r="A21" s="12" t="s">
        <v>125</v>
      </c>
      <c r="B21" s="43">
        <v>30</v>
      </c>
      <c r="C21" s="43"/>
      <c r="D21" s="12"/>
    </row>
    <row r="22" spans="1:11">
      <c r="A22" s="12" t="s">
        <v>164</v>
      </c>
      <c r="B22" s="41">
        <v>3.5000000000000003E-2</v>
      </c>
      <c r="F22" t="s">
        <v>165</v>
      </c>
      <c r="K22" s="6"/>
    </row>
    <row r="23" spans="1:11">
      <c r="A23" s="12" t="s">
        <v>167</v>
      </c>
      <c r="B23" s="41">
        <v>0.7</v>
      </c>
      <c r="F23" t="s">
        <v>166</v>
      </c>
      <c r="K23" s="6"/>
    </row>
    <row r="24" spans="1:11">
      <c r="A24" s="5"/>
      <c r="B24" s="3"/>
      <c r="C24" s="1"/>
      <c r="D24" s="4"/>
    </row>
    <row r="25" spans="1:11">
      <c r="A25" s="7"/>
      <c r="B25" s="417" t="s">
        <v>3</v>
      </c>
      <c r="C25" s="56"/>
      <c r="D25" s="7" t="s">
        <v>4</v>
      </c>
      <c r="E25" s="8" t="s">
        <v>5</v>
      </c>
    </row>
    <row r="26" spans="1:11">
      <c r="A26" s="19" t="s">
        <v>31</v>
      </c>
      <c r="B26" s="82">
        <v>1.68</v>
      </c>
      <c r="C26" s="82"/>
      <c r="D26" s="9" t="s">
        <v>6</v>
      </c>
      <c r="E26" s="8"/>
      <c r="F26" s="28" t="s">
        <v>126</v>
      </c>
    </row>
    <row r="27" spans="1:11">
      <c r="A27" s="12"/>
      <c r="B27" s="22"/>
      <c r="C27" s="22"/>
      <c r="D27" s="9"/>
    </row>
    <row r="28" spans="1:11">
      <c r="A28" s="8" t="s">
        <v>19</v>
      </c>
      <c r="B28" s="83" t="s">
        <v>17</v>
      </c>
      <c r="C28" s="83" t="s">
        <v>80</v>
      </c>
      <c r="D28" s="9"/>
      <c r="F28" s="28"/>
    </row>
    <row r="29" spans="1:11">
      <c r="A29" s="68" t="s">
        <v>7</v>
      </c>
      <c r="B29" s="42">
        <v>14.8</v>
      </c>
      <c r="C29" s="79">
        <f>B29*(1+_2019P)</f>
        <v>15.367526787462815</v>
      </c>
      <c r="D29" s="9" t="s">
        <v>20</v>
      </c>
      <c r="F29" s="28" t="s">
        <v>77</v>
      </c>
    </row>
    <row r="30" spans="1:11">
      <c r="A30" s="68" t="s">
        <v>76</v>
      </c>
      <c r="B30" s="42">
        <v>29.5</v>
      </c>
      <c r="C30" s="79">
        <f>B30*(1+_2019P)</f>
        <v>30.631218934469796</v>
      </c>
      <c r="D30" s="9" t="s">
        <v>20</v>
      </c>
      <c r="F30" s="28" t="s">
        <v>77</v>
      </c>
    </row>
    <row r="31" spans="1:11" ht="16.2">
      <c r="A31" s="68" t="s">
        <v>18</v>
      </c>
      <c r="B31" s="42">
        <v>28.6</v>
      </c>
      <c r="C31" s="79">
        <f>B31*(1+_2019P)</f>
        <v>29.696707170367329</v>
      </c>
      <c r="D31" s="9" t="s">
        <v>20</v>
      </c>
      <c r="F31" s="28" t="s">
        <v>77</v>
      </c>
    </row>
    <row r="32" spans="1:11">
      <c r="A32" s="68" t="s">
        <v>29</v>
      </c>
      <c r="B32" s="42">
        <v>30</v>
      </c>
      <c r="C32" s="79">
        <f>B32*(1+_2019P)</f>
        <v>31.150392136748945</v>
      </c>
      <c r="D32" s="9" t="s">
        <v>20</v>
      </c>
      <c r="F32" s="28" t="s">
        <v>77</v>
      </c>
    </row>
    <row r="33" spans="1:6">
      <c r="A33" s="68" t="s">
        <v>30</v>
      </c>
      <c r="B33" s="42">
        <v>48.9</v>
      </c>
      <c r="C33" s="79">
        <f>B33*(1+_2019P)</f>
        <v>50.77513918290078</v>
      </c>
      <c r="D33" s="9" t="s">
        <v>20</v>
      </c>
      <c r="F33" s="28" t="s">
        <v>77</v>
      </c>
    </row>
    <row r="34" spans="1:6">
      <c r="C34" s="3"/>
      <c r="D34" s="9"/>
    </row>
    <row r="35" spans="1:6">
      <c r="A35" s="8" t="s">
        <v>47</v>
      </c>
      <c r="B35" s="83" t="s">
        <v>17</v>
      </c>
      <c r="C35" s="83" t="s">
        <v>80</v>
      </c>
      <c r="D35" s="9"/>
    </row>
    <row r="36" spans="1:6">
      <c r="A36" s="68" t="s">
        <v>49</v>
      </c>
      <c r="B36" s="51">
        <v>4300</v>
      </c>
      <c r="C36" s="54">
        <f t="shared" ref="C36:C41" si="0">B36*(1+_2019P)</f>
        <v>4464.8895396006819</v>
      </c>
      <c r="D36" s="9"/>
      <c r="F36" s="28" t="s">
        <v>48</v>
      </c>
    </row>
    <row r="37" spans="1:6">
      <c r="A37" s="68" t="s">
        <v>81</v>
      </c>
      <c r="B37" s="51">
        <v>63900</v>
      </c>
      <c r="C37" s="54">
        <f t="shared" si="0"/>
        <v>66350.335251275261</v>
      </c>
      <c r="D37" s="9"/>
      <c r="F37" s="28" t="s">
        <v>48</v>
      </c>
    </row>
    <row r="38" spans="1:6">
      <c r="A38" s="68" t="s">
        <v>82</v>
      </c>
      <c r="B38" s="51">
        <v>125000</v>
      </c>
      <c r="C38" s="54">
        <f t="shared" si="0"/>
        <v>129793.30056978727</v>
      </c>
      <c r="D38" s="9"/>
      <c r="F38" s="28" t="s">
        <v>48</v>
      </c>
    </row>
    <row r="39" spans="1:6">
      <c r="A39" s="68" t="s">
        <v>84</v>
      </c>
      <c r="B39" s="51">
        <v>459100</v>
      </c>
      <c r="C39" s="54">
        <f t="shared" si="0"/>
        <v>476704.83433271467</v>
      </c>
      <c r="D39" s="9"/>
      <c r="F39" s="28" t="s">
        <v>48</v>
      </c>
    </row>
    <row r="40" spans="1:6">
      <c r="A40" s="68" t="s">
        <v>400</v>
      </c>
      <c r="B40" s="51">
        <v>9600000</v>
      </c>
      <c r="C40" s="54">
        <f t="shared" si="0"/>
        <v>9968125.4837596621</v>
      </c>
      <c r="D40" s="9"/>
      <c r="F40" s="28" t="s">
        <v>48</v>
      </c>
    </row>
    <row r="41" spans="1:6">
      <c r="A41" s="68" t="s">
        <v>83</v>
      </c>
      <c r="B41" s="51">
        <v>174000</v>
      </c>
      <c r="C41" s="54">
        <f t="shared" si="0"/>
        <v>180672.27439314389</v>
      </c>
      <c r="D41" s="9"/>
      <c r="F41" s="28" t="s">
        <v>48</v>
      </c>
    </row>
    <row r="42" spans="1:6">
      <c r="D42" s="9"/>
    </row>
    <row r="43" spans="1:6">
      <c r="A43" s="98" t="s">
        <v>302</v>
      </c>
      <c r="C43" s="83" t="s">
        <v>80</v>
      </c>
      <c r="D43" s="9"/>
    </row>
    <row r="44" spans="1:6">
      <c r="A44" s="68" t="s">
        <v>299</v>
      </c>
      <c r="C44" s="332">
        <v>3.5</v>
      </c>
      <c r="D44" s="9"/>
      <c r="F44" s="28" t="s">
        <v>301</v>
      </c>
    </row>
    <row r="45" spans="1:6">
      <c r="A45" s="68" t="s">
        <v>300</v>
      </c>
      <c r="C45" s="332">
        <v>3.46</v>
      </c>
      <c r="D45" s="9"/>
      <c r="F45" s="28" t="s">
        <v>301</v>
      </c>
    </row>
    <row r="46" spans="1:6">
      <c r="A46" s="68"/>
      <c r="C46" s="332"/>
      <c r="D46" s="9"/>
      <c r="F46" s="28"/>
    </row>
    <row r="47" spans="1:6">
      <c r="A47" s="98" t="s">
        <v>303</v>
      </c>
      <c r="C47" s="332"/>
      <c r="D47" s="9"/>
      <c r="F47" s="28"/>
    </row>
    <row r="48" spans="1:6">
      <c r="A48" s="68" t="s">
        <v>304</v>
      </c>
      <c r="C48">
        <v>23.6</v>
      </c>
      <c r="D48" s="9" t="s">
        <v>306</v>
      </c>
      <c r="F48" t="s">
        <v>307</v>
      </c>
    </row>
    <row r="49" spans="1:6">
      <c r="A49" s="68" t="s">
        <v>305</v>
      </c>
      <c r="C49">
        <v>6.4</v>
      </c>
      <c r="D49" s="9" t="s">
        <v>306</v>
      </c>
      <c r="F49" s="133" t="s">
        <v>308</v>
      </c>
    </row>
    <row r="50" spans="1:6">
      <c r="A50" s="68"/>
      <c r="D50" s="9"/>
    </row>
    <row r="51" spans="1:6">
      <c r="A51" s="36" t="s">
        <v>23</v>
      </c>
      <c r="B51" s="83" t="s">
        <v>17</v>
      </c>
      <c r="C51" s="83" t="s">
        <v>80</v>
      </c>
    </row>
    <row r="52" spans="1:6" s="26" customFormat="1">
      <c r="A52" s="84" t="s">
        <v>26</v>
      </c>
      <c r="B52" s="57">
        <v>2000</v>
      </c>
      <c r="C52" s="54">
        <f>B52*(1+_2019P)</f>
        <v>2076.6928091165964</v>
      </c>
      <c r="D52" s="32" t="s">
        <v>25</v>
      </c>
      <c r="F52" s="28" t="s">
        <v>78</v>
      </c>
    </row>
    <row r="53" spans="1:6" s="26" customFormat="1">
      <c r="A53" s="84" t="s">
        <v>409</v>
      </c>
      <c r="B53" s="57">
        <v>8300</v>
      </c>
      <c r="C53" s="54">
        <f>B53*(1+_2019P)</f>
        <v>8618.2751578338757</v>
      </c>
      <c r="D53" s="32" t="s">
        <v>25</v>
      </c>
      <c r="F53" s="28" t="s">
        <v>78</v>
      </c>
    </row>
    <row r="54" spans="1:6" s="26" customFormat="1">
      <c r="A54" s="84" t="s">
        <v>27</v>
      </c>
      <c r="B54" s="57">
        <v>377800</v>
      </c>
      <c r="C54" s="54">
        <f>B54*(1+_2019P)</f>
        <v>392287.27164212504</v>
      </c>
      <c r="D54" s="32" t="s">
        <v>25</v>
      </c>
      <c r="F54" s="28" t="s">
        <v>78</v>
      </c>
    </row>
    <row r="55" spans="1:6" s="26" customFormat="1">
      <c r="A55" s="84" t="s">
        <v>28</v>
      </c>
      <c r="B55" s="57">
        <v>48900</v>
      </c>
      <c r="C55" s="54">
        <f>B55*(1+_2019P)</f>
        <v>50775.139182900784</v>
      </c>
      <c r="D55" s="32" t="s">
        <v>25</v>
      </c>
      <c r="F55" s="28" t="s">
        <v>78</v>
      </c>
    </row>
    <row r="56" spans="1:6" s="26" customFormat="1">
      <c r="A56" s="84" t="s">
        <v>24</v>
      </c>
      <c r="B56" s="80" t="s">
        <v>79</v>
      </c>
      <c r="C56" s="54"/>
      <c r="D56" s="32"/>
      <c r="F56" s="28" t="s">
        <v>78</v>
      </c>
    </row>
    <row r="57" spans="1:6" s="26" customFormat="1">
      <c r="A57" s="84" t="s">
        <v>118</v>
      </c>
      <c r="B57" s="37"/>
      <c r="C57" s="104">
        <v>907185</v>
      </c>
      <c r="D57" s="32"/>
    </row>
    <row r="58" spans="1:6" s="26" customFormat="1">
      <c r="A58" s="84" t="s">
        <v>119</v>
      </c>
      <c r="B58" s="37"/>
      <c r="C58" s="104">
        <v>1000000</v>
      </c>
      <c r="D58" s="32"/>
    </row>
    <row r="59" spans="1:6" s="26" customFormat="1">
      <c r="B59" s="37"/>
      <c r="C59" s="37"/>
      <c r="D59" s="32"/>
    </row>
    <row r="60" spans="1:6" s="26" customFormat="1">
      <c r="B60" s="37"/>
      <c r="C60" s="37"/>
      <c r="D60" s="32"/>
    </row>
    <row r="61" spans="1:6" s="26" customFormat="1">
      <c r="B61" s="37"/>
      <c r="C61" s="37"/>
      <c r="D61" s="32"/>
    </row>
    <row r="62" spans="1:6" s="26" customFormat="1">
      <c r="B62" s="37"/>
      <c r="C62" s="37"/>
      <c r="D62" s="32"/>
    </row>
    <row r="63" spans="1:6" s="26" customFormat="1">
      <c r="B63" s="37"/>
      <c r="C63" s="37"/>
      <c r="D63" s="32"/>
    </row>
    <row r="64" spans="1:6" s="26" customFormat="1">
      <c r="B64" s="37"/>
      <c r="C64" s="37"/>
      <c r="D64" s="32"/>
    </row>
    <row r="65" spans="1:12" s="26" customFormat="1">
      <c r="B65" s="37"/>
      <c r="C65" s="37"/>
      <c r="D65" s="32"/>
    </row>
    <row r="66" spans="1:12" s="26" customFormat="1">
      <c r="B66" s="37"/>
      <c r="C66" s="37"/>
      <c r="D66" s="32"/>
    </row>
    <row r="67" spans="1:12" s="26" customFormat="1">
      <c r="B67" s="37"/>
      <c r="C67" s="37"/>
      <c r="D67" s="32"/>
    </row>
    <row r="68" spans="1:12" s="26" customFormat="1">
      <c r="B68" s="37"/>
      <c r="C68" s="37"/>
      <c r="D68" s="32"/>
    </row>
    <row r="69" spans="1:12">
      <c r="D69" s="9"/>
      <c r="I69" s="26"/>
      <c r="J69" s="26"/>
      <c r="K69" s="26"/>
      <c r="L69" s="26"/>
    </row>
    <row r="70" spans="1:12">
      <c r="A70" s="35"/>
    </row>
    <row r="71" spans="1:12">
      <c r="A71" s="35"/>
      <c r="B71" s="33"/>
      <c r="C71" s="33"/>
      <c r="D71" s="3"/>
    </row>
    <row r="72" spans="1:12">
      <c r="A72" s="35"/>
      <c r="B72" s="33"/>
      <c r="C72" s="33"/>
      <c r="D72" s="2"/>
    </row>
    <row r="73" spans="1:12">
      <c r="A73" s="35"/>
      <c r="B73" s="33"/>
      <c r="C73" s="33"/>
      <c r="D73" s="2"/>
    </row>
    <row r="74" spans="1:12">
      <c r="A74" s="34"/>
      <c r="B74" s="33"/>
      <c r="C74" s="33"/>
      <c r="D74" s="23"/>
    </row>
    <row r="75" spans="1:12">
      <c r="A75" s="3"/>
      <c r="B75" s="3"/>
      <c r="C75" s="3"/>
      <c r="D75" s="24"/>
    </row>
    <row r="76" spans="1:12">
      <c r="A76" s="3"/>
      <c r="B76" s="3"/>
      <c r="C76" s="3"/>
      <c r="D76" s="23"/>
    </row>
    <row r="77" spans="1:12">
      <c r="A77" s="3"/>
      <c r="B77" s="3"/>
      <c r="C77" s="3"/>
      <c r="D77" s="23"/>
    </row>
    <row r="78" spans="1:12">
      <c r="A78" s="3"/>
      <c r="B78" s="3"/>
      <c r="C78" s="3"/>
      <c r="D78" s="23"/>
    </row>
    <row r="79" spans="1:12">
      <c r="A79" s="3"/>
      <c r="B79" s="3"/>
      <c r="C79" s="3"/>
      <c r="D79" s="23"/>
    </row>
    <row r="80" spans="1:12">
      <c r="A80" s="3"/>
      <c r="B80" s="3"/>
      <c r="C80" s="3"/>
      <c r="D80" s="25"/>
    </row>
    <row r="81" spans="1:4">
      <c r="A81" s="3"/>
      <c r="B81" s="3"/>
      <c r="C81" s="3"/>
      <c r="D81" s="25"/>
    </row>
    <row r="82" spans="1:4">
      <c r="A82" s="26"/>
      <c r="B82" s="26"/>
      <c r="C82" s="26"/>
      <c r="D82" s="26"/>
    </row>
  </sheetData>
  <pageMargins left="0.7" right="0.7" top="0.75" bottom="0.75" header="0.3" footer="0.3"/>
  <pageSetup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E788D-2539-4DB0-8C09-EDDBD00ED355}">
  <dimension ref="B1:M44"/>
  <sheetViews>
    <sheetView showGridLines="0" topLeftCell="A24" workbookViewId="0">
      <selection activeCell="A5" sqref="A5:M41"/>
    </sheetView>
  </sheetViews>
  <sheetFormatPr defaultRowHeight="14.4"/>
  <cols>
    <col min="1" max="1" width="0.5546875" customWidth="1"/>
    <col min="2" max="2" width="28.33203125" customWidth="1"/>
    <col min="3" max="3" width="7.44140625" customWidth="1"/>
    <col min="4" max="4" width="6.88671875" customWidth="1"/>
    <col min="5" max="5" width="1.5546875" customWidth="1"/>
    <col min="6" max="6" width="8.6640625" customWidth="1"/>
    <col min="7" max="7" width="10.6640625" customWidth="1"/>
    <col min="8" max="13" width="6.6640625" customWidth="1"/>
  </cols>
  <sheetData>
    <row r="1" spans="2:7">
      <c r="B1" s="7" t="s">
        <v>395</v>
      </c>
    </row>
    <row r="2" spans="2:7">
      <c r="B2" s="8" t="s">
        <v>406</v>
      </c>
    </row>
    <row r="5" spans="2:7">
      <c r="B5" s="8" t="s">
        <v>36</v>
      </c>
    </row>
    <row r="7" spans="2:7">
      <c r="B7" t="s">
        <v>37</v>
      </c>
      <c r="C7">
        <v>0.79</v>
      </c>
    </row>
    <row r="8" spans="2:7">
      <c r="B8" t="s">
        <v>39</v>
      </c>
    </row>
    <row r="9" spans="2:7">
      <c r="B9" t="s">
        <v>38</v>
      </c>
    </row>
    <row r="12" spans="2:7">
      <c r="B12" s="8" t="s">
        <v>407</v>
      </c>
    </row>
    <row r="13" spans="2:7" ht="43.2">
      <c r="B13" s="66" t="s">
        <v>40</v>
      </c>
      <c r="C13" s="282" t="s">
        <v>41</v>
      </c>
      <c r="D13" s="282" t="s">
        <v>42</v>
      </c>
      <c r="F13" s="282" t="s">
        <v>344</v>
      </c>
      <c r="G13" s="282" t="s">
        <v>131</v>
      </c>
    </row>
    <row r="14" spans="2:7">
      <c r="B14" s="71" t="s">
        <v>49</v>
      </c>
      <c r="C14" s="65">
        <v>716</v>
      </c>
      <c r="D14" s="65">
        <f>C14/5</f>
        <v>143.19999999999999</v>
      </c>
      <c r="F14" s="65">
        <f t="shared" ref="F14" si="0">D14</f>
        <v>143.19999999999999</v>
      </c>
      <c r="G14" s="65">
        <f>F14*$C$7</f>
        <v>113.128</v>
      </c>
    </row>
    <row r="15" spans="2:7">
      <c r="B15" s="64" t="s">
        <v>43</v>
      </c>
      <c r="C15" s="65">
        <v>196</v>
      </c>
      <c r="D15" s="65">
        <f t="shared" ref="D15" si="1">C15/5</f>
        <v>39.200000000000003</v>
      </c>
      <c r="F15" s="65">
        <f>D15</f>
        <v>39.200000000000003</v>
      </c>
      <c r="G15" s="65">
        <f>F15*$C$7</f>
        <v>30.968000000000004</v>
      </c>
    </row>
    <row r="16" spans="2:7">
      <c r="B16" s="64" t="s">
        <v>44</v>
      </c>
      <c r="C16" s="65">
        <v>63</v>
      </c>
      <c r="D16" s="65">
        <f>C16/5</f>
        <v>12.6</v>
      </c>
      <c r="F16" s="65">
        <f t="shared" ref="F16" si="2">D16</f>
        <v>12.6</v>
      </c>
      <c r="G16" s="65">
        <f>F16*$C$7</f>
        <v>9.9540000000000006</v>
      </c>
    </row>
    <row r="17" spans="2:13">
      <c r="B17" s="64" t="s">
        <v>45</v>
      </c>
      <c r="C17" s="65">
        <v>0</v>
      </c>
      <c r="D17" s="65">
        <f>C17/5</f>
        <v>0</v>
      </c>
      <c r="F17" s="65">
        <f>D17</f>
        <v>0</v>
      </c>
      <c r="G17" s="65">
        <v>0</v>
      </c>
    </row>
    <row r="18" spans="2:13">
      <c r="B18" s="64" t="s">
        <v>408</v>
      </c>
      <c r="C18" s="65">
        <v>0</v>
      </c>
      <c r="D18" s="65">
        <f>C18/5</f>
        <v>0</v>
      </c>
      <c r="F18" s="65">
        <f>D18</f>
        <v>0</v>
      </c>
      <c r="G18" s="65">
        <v>0</v>
      </c>
    </row>
    <row r="19" spans="2:13">
      <c r="B19" s="64" t="s">
        <v>46</v>
      </c>
      <c r="C19" s="65">
        <v>3</v>
      </c>
      <c r="D19" s="65">
        <f>C19/5</f>
        <v>0.6</v>
      </c>
      <c r="F19" s="69">
        <f t="shared" ref="F19" si="3">D19</f>
        <v>0.6</v>
      </c>
      <c r="G19" s="69">
        <f>F19*$C$7</f>
        <v>0.47399999999999998</v>
      </c>
    </row>
    <row r="20" spans="2:13">
      <c r="B20" t="s">
        <v>345</v>
      </c>
    </row>
    <row r="22" spans="2:13">
      <c r="B22" s="8" t="s">
        <v>133</v>
      </c>
    </row>
    <row r="23" spans="2:13" ht="28.8">
      <c r="B23" s="8" t="s">
        <v>127</v>
      </c>
      <c r="C23" s="282" t="s">
        <v>41</v>
      </c>
      <c r="D23" s="282" t="s">
        <v>42</v>
      </c>
      <c r="E23" s="252"/>
      <c r="F23" s="377"/>
      <c r="G23" s="378"/>
      <c r="H23" s="459" t="s">
        <v>178</v>
      </c>
      <c r="I23" s="459"/>
      <c r="J23" s="459"/>
      <c r="K23" s="459" t="s">
        <v>57</v>
      </c>
      <c r="L23" s="459"/>
      <c r="M23" s="459"/>
    </row>
    <row r="24" spans="2:13" ht="43.2">
      <c r="B24" t="s">
        <v>0</v>
      </c>
      <c r="C24" s="371">
        <v>56</v>
      </c>
      <c r="D24" s="39"/>
      <c r="E24" s="252"/>
      <c r="F24" s="282" t="s">
        <v>344</v>
      </c>
      <c r="G24" s="282" t="s">
        <v>131</v>
      </c>
      <c r="H24" s="40">
        <v>2017</v>
      </c>
      <c r="I24" s="40">
        <v>2025</v>
      </c>
      <c r="J24" s="40">
        <v>2042</v>
      </c>
      <c r="K24" s="40">
        <v>2017</v>
      </c>
      <c r="L24" s="40">
        <v>2025</v>
      </c>
      <c r="M24" s="40">
        <v>2042</v>
      </c>
    </row>
    <row r="25" spans="2:13">
      <c r="B25" t="s">
        <v>130</v>
      </c>
      <c r="C25" s="86"/>
      <c r="E25" s="116"/>
      <c r="F25" s="67"/>
      <c r="G25" s="67"/>
      <c r="H25" s="371">
        <f>3358+3803</f>
        <v>7161</v>
      </c>
      <c r="I25" s="371">
        <f>3677+4111</f>
        <v>7788</v>
      </c>
      <c r="J25" s="371">
        <f>4120+4628</f>
        <v>8748</v>
      </c>
      <c r="K25" s="371">
        <f>3358+3803</f>
        <v>7161</v>
      </c>
      <c r="L25" s="371">
        <f>3677+4111</f>
        <v>7788</v>
      </c>
      <c r="M25" s="371">
        <f>4120+4628</f>
        <v>8748</v>
      </c>
    </row>
    <row r="26" spans="2:13">
      <c r="B26" s="71" t="s">
        <v>49</v>
      </c>
      <c r="C26" s="65">
        <f>ROUND(C24*0.7,0)</f>
        <v>39</v>
      </c>
      <c r="D26" s="69">
        <f>C26/5</f>
        <v>7.8</v>
      </c>
      <c r="F26" s="69">
        <f t="shared" ref="F26" si="4">D26</f>
        <v>7.8</v>
      </c>
      <c r="G26" s="69">
        <f>F26*$C$7</f>
        <v>6.1619999999999999</v>
      </c>
      <c r="H26" s="112">
        <f>F26</f>
        <v>7.8</v>
      </c>
      <c r="I26" s="112">
        <f>I$25/H$25*$H26</f>
        <v>8.4829493087557601</v>
      </c>
      <c r="J26" s="112">
        <f>J$25/H$25*$H26</f>
        <v>9.5286133221617089</v>
      </c>
      <c r="K26" s="113" t="s">
        <v>132</v>
      </c>
      <c r="L26" s="112">
        <f>L$25/K$25*$G26</f>
        <v>6.7015299539170501</v>
      </c>
      <c r="M26" s="112">
        <f>M$25/K$25*$G26</f>
        <v>7.5276045245077494</v>
      </c>
    </row>
    <row r="27" spans="2:13">
      <c r="B27" s="64" t="s">
        <v>43</v>
      </c>
      <c r="C27" s="65">
        <f>(C24-C26)*C$15/SUM(C$15:C$16)</f>
        <v>12.864864864864865</v>
      </c>
      <c r="D27" s="69">
        <f t="shared" ref="D27" si="5">C27/5</f>
        <v>2.5729729729729729</v>
      </c>
      <c r="F27" s="69">
        <f>D27</f>
        <v>2.5729729729729729</v>
      </c>
      <c r="G27" s="69">
        <f>F27*$C$7</f>
        <v>2.0326486486486486</v>
      </c>
      <c r="H27" s="112">
        <f>F27</f>
        <v>2.5729729729729729</v>
      </c>
      <c r="I27" s="112">
        <f t="shared" ref="I27" si="6">I$25/H$25*$H27</f>
        <v>2.7982563208369657</v>
      </c>
      <c r="J27" s="112">
        <f t="shared" ref="J27:J28" si="7">J$25/H$25*$H27</f>
        <v>3.1431877625426008</v>
      </c>
      <c r="K27" s="113" t="s">
        <v>132</v>
      </c>
      <c r="L27" s="112">
        <f>L$25/K$25*$G27</f>
        <v>2.2106224934612029</v>
      </c>
      <c r="M27" s="112">
        <f>M$25/K$25*$G27</f>
        <v>2.4831183324086545</v>
      </c>
    </row>
    <row r="28" spans="2:13">
      <c r="B28" s="64" t="s">
        <v>44</v>
      </c>
      <c r="C28" s="65">
        <f>C24-SUM(C26:C27)</f>
        <v>4.1351351351351369</v>
      </c>
      <c r="D28" s="69">
        <f>C28/5</f>
        <v>0.82702702702702735</v>
      </c>
      <c r="F28" s="69">
        <f t="shared" ref="F28" si="8">D28</f>
        <v>0.82702702702702735</v>
      </c>
      <c r="G28" s="69">
        <f>F28*$C$7</f>
        <v>0.65335135135135158</v>
      </c>
      <c r="H28" s="112">
        <f>F28</f>
        <v>0.82702702702702735</v>
      </c>
      <c r="I28" s="112">
        <f t="shared" ref="I28" si="9">I$25/H$25*$H28</f>
        <v>0.89943953169759649</v>
      </c>
      <c r="J28" s="112">
        <f t="shared" si="7"/>
        <v>1.0103103522458363</v>
      </c>
      <c r="K28" s="113" t="s">
        <v>132</v>
      </c>
      <c r="L28" s="112">
        <f>L$25/K$25*$G28</f>
        <v>0.71055723004110127</v>
      </c>
      <c r="M28" s="112">
        <f>M$25/K$25*$G28</f>
        <v>0.79814517827421072</v>
      </c>
    </row>
    <row r="29" spans="2:13">
      <c r="D29" s="87"/>
      <c r="F29" s="87"/>
      <c r="G29" s="87"/>
    </row>
    <row r="30" spans="2:13" ht="28.8">
      <c r="B30" s="8" t="s">
        <v>128</v>
      </c>
      <c r="C30" s="282" t="s">
        <v>41</v>
      </c>
      <c r="D30" s="282" t="s">
        <v>42</v>
      </c>
      <c r="E30" s="252"/>
      <c r="F30" s="377"/>
      <c r="G30" s="378"/>
      <c r="H30" s="459" t="s">
        <v>178</v>
      </c>
      <c r="I30" s="459"/>
      <c r="J30" s="459"/>
      <c r="K30" s="459" t="s">
        <v>57</v>
      </c>
      <c r="L30" s="459"/>
      <c r="M30" s="459"/>
    </row>
    <row r="31" spans="2:13" ht="43.2">
      <c r="B31" s="8"/>
      <c r="C31" s="371">
        <v>96</v>
      </c>
      <c r="D31" s="39"/>
      <c r="E31" s="252"/>
      <c r="F31" s="282" t="s">
        <v>344</v>
      </c>
      <c r="G31" s="282" t="s">
        <v>131</v>
      </c>
      <c r="H31" s="40">
        <v>2017</v>
      </c>
      <c r="I31" s="40">
        <v>2025</v>
      </c>
      <c r="J31" s="40">
        <v>2042</v>
      </c>
      <c r="K31" s="40">
        <v>2017</v>
      </c>
      <c r="L31" s="40">
        <v>2025</v>
      </c>
      <c r="M31" s="40">
        <v>2042</v>
      </c>
    </row>
    <row r="32" spans="2:13">
      <c r="B32" t="s">
        <v>0</v>
      </c>
      <c r="E32" s="116"/>
      <c r="F32" s="67"/>
      <c r="G32" s="67"/>
      <c r="H32" s="371">
        <f>3495+2994</f>
        <v>6489</v>
      </c>
      <c r="I32" s="371">
        <f>3742+3290</f>
        <v>7032</v>
      </c>
      <c r="J32" s="371">
        <f>4171+3713</f>
        <v>7884</v>
      </c>
      <c r="K32" s="371">
        <f>3495+2994</f>
        <v>6489</v>
      </c>
      <c r="L32" s="371">
        <f>3742+3290</f>
        <v>7032</v>
      </c>
      <c r="M32" s="371">
        <f>4171+3713</f>
        <v>7884</v>
      </c>
    </row>
    <row r="33" spans="2:13">
      <c r="B33" s="71" t="s">
        <v>49</v>
      </c>
      <c r="C33" s="65">
        <f>ROUND(C31*0.7,0)</f>
        <v>67</v>
      </c>
      <c r="D33" s="69">
        <f>C33/5</f>
        <v>13.4</v>
      </c>
      <c r="F33" s="69">
        <f t="shared" ref="F33" si="10">D33</f>
        <v>13.4</v>
      </c>
      <c r="G33" s="69">
        <f>F33*$C$7</f>
        <v>10.586</v>
      </c>
      <c r="H33" s="112">
        <f>F33</f>
        <v>13.4</v>
      </c>
      <c r="I33" s="112">
        <f>I$32/H$32*$H33</f>
        <v>14.521312991215904</v>
      </c>
      <c r="J33" s="112">
        <f>J$32/H$32*$H33</f>
        <v>16.280721220527045</v>
      </c>
      <c r="K33" s="113" t="s">
        <v>132</v>
      </c>
      <c r="L33" s="112">
        <f>L$32/K$32*$G33</f>
        <v>11.471837263060564</v>
      </c>
      <c r="M33" s="112">
        <f>M$32/K$32*$G33</f>
        <v>12.861769764216366</v>
      </c>
    </row>
    <row r="34" spans="2:13">
      <c r="B34" s="64" t="s">
        <v>43</v>
      </c>
      <c r="C34" s="65">
        <f>(C31-C33)*C$15/SUM(C$15:C$16)</f>
        <v>21.945945945945947</v>
      </c>
      <c r="D34" s="69">
        <f t="shared" ref="D34" si="11">C34/5</f>
        <v>4.3891891891891897</v>
      </c>
      <c r="F34" s="69">
        <f>D34</f>
        <v>4.3891891891891897</v>
      </c>
      <c r="G34" s="69">
        <f>F34*$C$7</f>
        <v>3.4674594594594601</v>
      </c>
      <c r="H34" s="112">
        <f>F34</f>
        <v>4.3891891891891897</v>
      </c>
      <c r="I34" s="112">
        <f t="shared" ref="I34" si="12">I$32/H$32*$H34</f>
        <v>4.7564768652147302</v>
      </c>
      <c r="J34" s="112">
        <f>J$32/H$32*$H34</f>
        <v>5.3327735502492786</v>
      </c>
      <c r="K34" s="113" t="s">
        <v>132</v>
      </c>
      <c r="L34" s="112">
        <f>L$32/K$32*$G34</f>
        <v>3.7576167235196372</v>
      </c>
      <c r="M34" s="112">
        <f>M$32/K$32*$G34</f>
        <v>4.2128911046969302</v>
      </c>
    </row>
    <row r="35" spans="2:13">
      <c r="B35" s="64" t="s">
        <v>44</v>
      </c>
      <c r="C35" s="65">
        <f>C31-SUM(C33:C34)</f>
        <v>7.0540540540540491</v>
      </c>
      <c r="D35" s="69">
        <f>C35/5</f>
        <v>1.4108108108108097</v>
      </c>
      <c r="F35" s="69">
        <f t="shared" ref="F35" si="13">D35</f>
        <v>1.4108108108108097</v>
      </c>
      <c r="G35" s="69">
        <f>F35*$C$7</f>
        <v>1.1145405405405397</v>
      </c>
      <c r="H35" s="112">
        <f>F35</f>
        <v>1.4108108108108097</v>
      </c>
      <c r="I35" s="112">
        <f t="shared" ref="I35" si="14">I$32/H$32*$H35</f>
        <v>1.528867563819019</v>
      </c>
      <c r="J35" s="112">
        <f>J$32/H$32*$H35</f>
        <v>1.7141057840086951</v>
      </c>
      <c r="K35" s="113" t="s">
        <v>132</v>
      </c>
      <c r="L35" s="112">
        <f>L$32/K$32*$G35</f>
        <v>1.207805375417025</v>
      </c>
      <c r="M35" s="112">
        <f>M$32/K$32*$G35</f>
        <v>1.3541435693668693</v>
      </c>
    </row>
    <row r="36" spans="2:13">
      <c r="D36" s="87"/>
      <c r="E36" s="116"/>
      <c r="F36" s="87"/>
      <c r="G36" s="87"/>
    </row>
    <row r="37" spans="2:13">
      <c r="B37" s="8" t="s">
        <v>346</v>
      </c>
      <c r="C37" s="375"/>
      <c r="D37" s="112"/>
      <c r="E37" s="252"/>
      <c r="F37" s="379"/>
      <c r="G37" s="380"/>
      <c r="H37" s="459" t="s">
        <v>178</v>
      </c>
      <c r="I37" s="459"/>
      <c r="J37" s="459"/>
      <c r="K37" s="459" t="s">
        <v>57</v>
      </c>
      <c r="L37" s="459"/>
      <c r="M37" s="459"/>
    </row>
    <row r="38" spans="2:13" ht="43.2">
      <c r="B38" t="s">
        <v>0</v>
      </c>
      <c r="C38" s="370" t="s">
        <v>41</v>
      </c>
      <c r="D38" s="376" t="s">
        <v>42</v>
      </c>
      <c r="E38" s="252"/>
      <c r="F38" s="282" t="s">
        <v>344</v>
      </c>
      <c r="G38" s="282" t="s">
        <v>131</v>
      </c>
      <c r="H38" s="40">
        <v>2017</v>
      </c>
      <c r="I38" s="40">
        <v>2025</v>
      </c>
      <c r="J38" s="40">
        <v>2042</v>
      </c>
      <c r="K38" s="40">
        <v>2017</v>
      </c>
      <c r="L38" s="40">
        <v>2025</v>
      </c>
      <c r="M38" s="40">
        <v>2042</v>
      </c>
    </row>
    <row r="39" spans="2:13">
      <c r="B39" s="71" t="s">
        <v>49</v>
      </c>
      <c r="C39" s="372">
        <f>C33+C26</f>
        <v>106</v>
      </c>
      <c r="D39" s="373">
        <f>C39/5</f>
        <v>21.2</v>
      </c>
      <c r="E39" s="116"/>
      <c r="F39" s="373">
        <f t="shared" ref="F39" si="15">D39</f>
        <v>21.2</v>
      </c>
      <c r="G39" s="373">
        <f>F39*$C$7</f>
        <v>16.748000000000001</v>
      </c>
      <c r="H39" s="373">
        <f>H33+H26</f>
        <v>21.2</v>
      </c>
      <c r="I39" s="373">
        <f t="shared" ref="I39:M39" si="16">I33+I26</f>
        <v>23.004262299971664</v>
      </c>
      <c r="J39" s="373">
        <f t="shared" si="16"/>
        <v>25.809334542688752</v>
      </c>
      <c r="K39" s="374" t="s">
        <v>132</v>
      </c>
      <c r="L39" s="373">
        <f t="shared" si="16"/>
        <v>18.173367216977613</v>
      </c>
      <c r="M39" s="373">
        <f t="shared" si="16"/>
        <v>20.389374288724113</v>
      </c>
    </row>
    <row r="40" spans="2:13">
      <c r="B40" s="64" t="s">
        <v>43</v>
      </c>
      <c r="C40" s="65">
        <f>C34+C27</f>
        <v>34.810810810810814</v>
      </c>
      <c r="D40" s="69">
        <f t="shared" ref="D40" si="17">C40/5</f>
        <v>6.962162162162163</v>
      </c>
      <c r="E40" s="116"/>
      <c r="F40" s="69">
        <f>D40</f>
        <v>6.962162162162163</v>
      </c>
      <c r="G40" s="69">
        <f>F40*$C$7</f>
        <v>5.5001081081081091</v>
      </c>
      <c r="H40" s="69">
        <f t="shared" ref="H40:M40" si="18">H34+H27</f>
        <v>6.9621621621621621</v>
      </c>
      <c r="I40" s="69">
        <f t="shared" si="18"/>
        <v>7.5547331860516955</v>
      </c>
      <c r="J40" s="69">
        <f t="shared" si="18"/>
        <v>8.4759613127918794</v>
      </c>
      <c r="K40" s="113" t="s">
        <v>132</v>
      </c>
      <c r="L40" s="69">
        <f t="shared" si="18"/>
        <v>5.96823921698084</v>
      </c>
      <c r="M40" s="69">
        <f t="shared" si="18"/>
        <v>6.6960094371055847</v>
      </c>
    </row>
    <row r="41" spans="2:13">
      <c r="B41" s="64" t="s">
        <v>44</v>
      </c>
      <c r="C41" s="65">
        <f>C35+C28</f>
        <v>11.189189189189186</v>
      </c>
      <c r="D41" s="69">
        <f>C41/5</f>
        <v>2.2378378378378372</v>
      </c>
      <c r="E41" s="116"/>
      <c r="F41" s="69">
        <f t="shared" ref="F41" si="19">D41</f>
        <v>2.2378378378378372</v>
      </c>
      <c r="G41" s="69">
        <f>F41*$C$7</f>
        <v>1.7678918918918916</v>
      </c>
      <c r="H41" s="69">
        <f t="shared" ref="H41:M41" si="20">H35+H28</f>
        <v>2.2378378378378372</v>
      </c>
      <c r="I41" s="69">
        <f t="shared" si="20"/>
        <v>2.4283070955166153</v>
      </c>
      <c r="J41" s="69">
        <f t="shared" si="20"/>
        <v>2.7244161362545314</v>
      </c>
      <c r="K41" s="113" t="s">
        <v>132</v>
      </c>
      <c r="L41" s="69">
        <f t="shared" si="20"/>
        <v>1.9183626054581264</v>
      </c>
      <c r="M41" s="69">
        <f t="shared" si="20"/>
        <v>2.1522887476410801</v>
      </c>
    </row>
    <row r="42" spans="2:13">
      <c r="E42" s="116"/>
    </row>
    <row r="43" spans="2:13">
      <c r="B43" t="s">
        <v>129</v>
      </c>
      <c r="E43" s="116"/>
      <c r="H43" s="86">
        <f>H32+H25</f>
        <v>13650</v>
      </c>
      <c r="I43" s="86">
        <f>I32+I25</f>
        <v>14820</v>
      </c>
    </row>
    <row r="44" spans="2:13">
      <c r="I44" s="150"/>
    </row>
  </sheetData>
  <mergeCells count="6">
    <mergeCell ref="H23:J23"/>
    <mergeCell ref="K23:M23"/>
    <mergeCell ref="H30:J30"/>
    <mergeCell ref="K30:M30"/>
    <mergeCell ref="H37:J37"/>
    <mergeCell ref="K37:M37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873E5-5F29-4882-BEBC-90C81E938177}">
  <dimension ref="A1:AF38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8" sqref="A8"/>
      <selection pane="bottomRight" activeCell="G28" sqref="F28:G28"/>
    </sheetView>
  </sheetViews>
  <sheetFormatPr defaultRowHeight="14.4"/>
  <cols>
    <col min="1" max="1" width="31.5546875" customWidth="1"/>
    <col min="2" max="32" width="12.6640625" customWidth="1"/>
  </cols>
  <sheetData>
    <row r="1" spans="1:32">
      <c r="A1" s="7" t="s">
        <v>395</v>
      </c>
    </row>
    <row r="2" spans="1:32">
      <c r="A2" s="8" t="s">
        <v>397</v>
      </c>
      <c r="B2" s="72"/>
      <c r="C2" s="72"/>
    </row>
    <row r="5" spans="1:32">
      <c r="B5" s="276">
        <v>2024</v>
      </c>
      <c r="C5" s="276">
        <v>2025</v>
      </c>
      <c r="D5" s="276">
        <f>C5+1</f>
        <v>2026</v>
      </c>
      <c r="E5" s="276">
        <f t="shared" ref="E5:AF5" si="0">D5+1</f>
        <v>2027</v>
      </c>
      <c r="F5" s="276">
        <f t="shared" si="0"/>
        <v>2028</v>
      </c>
      <c r="G5" s="276">
        <f t="shared" si="0"/>
        <v>2029</v>
      </c>
      <c r="H5" s="276">
        <f t="shared" si="0"/>
        <v>2030</v>
      </c>
      <c r="I5" s="276">
        <f t="shared" si="0"/>
        <v>2031</v>
      </c>
      <c r="J5" s="276">
        <f t="shared" si="0"/>
        <v>2032</v>
      </c>
      <c r="K5" s="276">
        <f t="shared" si="0"/>
        <v>2033</v>
      </c>
      <c r="L5" s="276">
        <f t="shared" si="0"/>
        <v>2034</v>
      </c>
      <c r="M5" s="276">
        <f t="shared" si="0"/>
        <v>2035</v>
      </c>
      <c r="N5" s="276">
        <f t="shared" si="0"/>
        <v>2036</v>
      </c>
      <c r="O5" s="276">
        <f t="shared" si="0"/>
        <v>2037</v>
      </c>
      <c r="P5" s="276">
        <f t="shared" si="0"/>
        <v>2038</v>
      </c>
      <c r="Q5" s="276">
        <f t="shared" si="0"/>
        <v>2039</v>
      </c>
      <c r="R5" s="276">
        <f t="shared" si="0"/>
        <v>2040</v>
      </c>
      <c r="S5" s="276">
        <f t="shared" si="0"/>
        <v>2041</v>
      </c>
      <c r="T5" s="276">
        <f t="shared" si="0"/>
        <v>2042</v>
      </c>
      <c r="U5" s="276">
        <f t="shared" si="0"/>
        <v>2043</v>
      </c>
      <c r="V5" s="276">
        <f t="shared" si="0"/>
        <v>2044</v>
      </c>
      <c r="W5" s="276">
        <f t="shared" si="0"/>
        <v>2045</v>
      </c>
      <c r="X5" s="276">
        <f t="shared" si="0"/>
        <v>2046</v>
      </c>
      <c r="Y5" s="276">
        <f t="shared" si="0"/>
        <v>2047</v>
      </c>
      <c r="Z5" s="276">
        <f t="shared" si="0"/>
        <v>2048</v>
      </c>
      <c r="AA5" s="276">
        <f t="shared" si="0"/>
        <v>2049</v>
      </c>
      <c r="AB5" s="276">
        <f t="shared" si="0"/>
        <v>2050</v>
      </c>
      <c r="AC5" s="276">
        <f t="shared" si="0"/>
        <v>2051</v>
      </c>
      <c r="AD5" s="276">
        <f t="shared" si="0"/>
        <v>2052</v>
      </c>
      <c r="AE5" s="276">
        <f t="shared" si="0"/>
        <v>2053</v>
      </c>
      <c r="AF5" s="276">
        <f t="shared" si="0"/>
        <v>2054</v>
      </c>
    </row>
    <row r="6" spans="1:32">
      <c r="A6" s="98" t="s">
        <v>117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>
      <c r="A7" s="68" t="s">
        <v>296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1:32">
      <c r="A8" s="73" t="s">
        <v>50</v>
      </c>
      <c r="B8" s="86">
        <f>'Benefits-Cost-calcs'!L24</f>
        <v>12787951.525181483</v>
      </c>
      <c r="C8" s="86">
        <f>'Benefits-Cost-calcs'!M24</f>
        <v>12948192.779210243</v>
      </c>
      <c r="D8" s="86">
        <f>'Benefits-Cost-calcs'!N24</f>
        <v>13110441.95917164</v>
      </c>
      <c r="E8" s="86">
        <f>'Benefits-Cost-calcs'!O24</f>
        <v>13274724.22566851</v>
      </c>
      <c r="F8" s="86">
        <f>'Benefits-Cost-calcs'!P24</f>
        <v>13441065.054582225</v>
      </c>
      <c r="G8" s="86">
        <f>'Benefits-Cost-calcs'!Q24</f>
        <v>13609490.241023323</v>
      </c>
      <c r="H8" s="86">
        <f>'Benefits-Cost-calcs'!R24</f>
        <v>13780025.90333166</v>
      </c>
      <c r="I8" s="86">
        <f>'Benefits-Cost-calcs'!S24</f>
        <v>13952698.487126688</v>
      </c>
      <c r="J8" s="86">
        <f>'Benefits-Cost-calcs'!T24</f>
        <v>14127534.769408468</v>
      </c>
      <c r="K8" s="86">
        <f>'Benefits-Cost-calcs'!U24</f>
        <v>14304561.86271009</v>
      </c>
      <c r="L8" s="86">
        <f>'Benefits-Cost-calcs'!V24</f>
        <v>14483807.219302112</v>
      </c>
      <c r="M8" s="86">
        <f>'Benefits-Cost-calcs'!W24</f>
        <v>14665298.635449691</v>
      </c>
      <c r="N8" s="86">
        <f>'Benefits-Cost-calcs'!X24</f>
        <v>14849064.255723057</v>
      </c>
      <c r="O8" s="86">
        <f>'Benefits-Cost-calcs'!Y24</f>
        <v>15035132.577362001</v>
      </c>
      <c r="P8" s="86">
        <f>'Benefits-Cost-calcs'!Z24</f>
        <v>15223532.454695048</v>
      </c>
      <c r="Q8" s="86">
        <f>'Benefits-Cost-calcs'!AA24</f>
        <v>15414293.10361401</v>
      </c>
      <c r="R8" s="86">
        <f>'Benefits-Cost-calcs'!AB24</f>
        <v>15607444.106104609</v>
      </c>
      <c r="S8" s="86">
        <f>'Benefits-Cost-calcs'!AC24</f>
        <v>15803015.41483386</v>
      </c>
      <c r="T8" s="86">
        <f>'Benefits-Cost-calcs'!AD24</f>
        <v>16001037.357795</v>
      </c>
      <c r="U8" s="86">
        <f>'Benefits-Cost-calcs'!AE24</f>
        <v>16001037.357795</v>
      </c>
      <c r="V8" s="86">
        <f>'Benefits-Cost-calcs'!AF24</f>
        <v>16001037.357795</v>
      </c>
      <c r="W8" s="86">
        <f>'Benefits-Cost-calcs'!AG24</f>
        <v>16001037.357795</v>
      </c>
      <c r="X8" s="86">
        <f>'Benefits-Cost-calcs'!AH24</f>
        <v>16001037.357795</v>
      </c>
      <c r="Y8" s="86">
        <f>'Benefits-Cost-calcs'!AI24</f>
        <v>16001037.357795</v>
      </c>
      <c r="Z8" s="86">
        <f>'Benefits-Cost-calcs'!AJ24</f>
        <v>16001037.357795</v>
      </c>
      <c r="AA8" s="86">
        <f>'Benefits-Cost-calcs'!AK24</f>
        <v>16001037.357795</v>
      </c>
      <c r="AB8" s="86">
        <f>'Benefits-Cost-calcs'!AL24</f>
        <v>16001037.357795</v>
      </c>
      <c r="AC8" s="86">
        <f>'Benefits-Cost-calcs'!AM24</f>
        <v>16001037.357795</v>
      </c>
      <c r="AD8" s="86">
        <f>'Benefits-Cost-calcs'!AN24</f>
        <v>16001037.357795</v>
      </c>
      <c r="AE8" s="86">
        <f>'Benefits-Cost-calcs'!AO24</f>
        <v>16001037.357795</v>
      </c>
      <c r="AF8" s="86" t="e">
        <f>'Benefits-Cost-calcs'!#REF!</f>
        <v>#REF!</v>
      </c>
    </row>
    <row r="9" spans="1:32">
      <c r="A9" s="73" t="s">
        <v>56</v>
      </c>
      <c r="B9" s="86">
        <f>'Benefits-Cost-calcs'!L25</f>
        <v>313304.81236694637</v>
      </c>
      <c r="C9" s="86">
        <f>'Benefits-Cost-calcs'!M25</f>
        <v>317230.72309065098</v>
      </c>
      <c r="D9" s="86">
        <f>'Benefits-Cost-calcs'!N25</f>
        <v>321205.82799970516</v>
      </c>
      <c r="E9" s="86">
        <f>'Benefits-Cost-calcs'!O25</f>
        <v>325230.74352887849</v>
      </c>
      <c r="F9" s="86">
        <f>'Benefits-Cost-calcs'!P25</f>
        <v>329306.09383726452</v>
      </c>
      <c r="G9" s="86">
        <f>'Benefits-Cost-calcs'!Q25</f>
        <v>333432.51090507145</v>
      </c>
      <c r="H9" s="86">
        <f>'Benefits-Cost-calcs'!R25</f>
        <v>337610.63463162567</v>
      </c>
      <c r="I9" s="86">
        <f>'Benefits-Cost-calcs'!S25</f>
        <v>341841.11293460388</v>
      </c>
      <c r="J9" s="86">
        <f>'Benefits-Cost-calcs'!T25</f>
        <v>346124.60185050749</v>
      </c>
      <c r="K9" s="86">
        <f>'Benefits-Cost-calcs'!U25</f>
        <v>350461.76563639723</v>
      </c>
      <c r="L9" s="86">
        <f>'Benefits-Cost-calcs'!V25</f>
        <v>354853.27687290177</v>
      </c>
      <c r="M9" s="86">
        <f>'Benefits-Cost-calcs'!W25</f>
        <v>359299.81656851748</v>
      </c>
      <c r="N9" s="86">
        <f>'Benefits-Cost-calcs'!X25</f>
        <v>363802.07426521496</v>
      </c>
      <c r="O9" s="86">
        <f>'Benefits-Cost-calcs'!Y25</f>
        <v>368360.748145369</v>
      </c>
      <c r="P9" s="86">
        <f>'Benefits-Cost-calcs'!Z25</f>
        <v>372976.5451400287</v>
      </c>
      <c r="Q9" s="86">
        <f>'Benefits-Cost-calcs'!AA25</f>
        <v>377650.18103854323</v>
      </c>
      <c r="R9" s="86">
        <f>'Benefits-Cost-calcs'!AB25</f>
        <v>382382.38059956295</v>
      </c>
      <c r="S9" s="86">
        <f>'Benefits-Cost-calcs'!AC25</f>
        <v>387173.87766342959</v>
      </c>
      <c r="T9" s="86">
        <f>'Benefits-Cost-calcs'!AD25</f>
        <v>392025.41526597756</v>
      </c>
      <c r="U9" s="86">
        <f>'Benefits-Cost-calcs'!AE25</f>
        <v>392025.41526597756</v>
      </c>
      <c r="V9" s="86">
        <f>'Benefits-Cost-calcs'!AF25</f>
        <v>392025.41526597756</v>
      </c>
      <c r="W9" s="86">
        <f>'Benefits-Cost-calcs'!AG25</f>
        <v>392025.41526597756</v>
      </c>
      <c r="X9" s="86">
        <f>'Benefits-Cost-calcs'!AH25</f>
        <v>392025.41526597756</v>
      </c>
      <c r="Y9" s="86">
        <f>'Benefits-Cost-calcs'!AI25</f>
        <v>392025.41526597756</v>
      </c>
      <c r="Z9" s="86">
        <f>'Benefits-Cost-calcs'!AJ25</f>
        <v>392025.41526597756</v>
      </c>
      <c r="AA9" s="86">
        <f>'Benefits-Cost-calcs'!AK25</f>
        <v>392025.41526597756</v>
      </c>
      <c r="AB9" s="86">
        <f>'Benefits-Cost-calcs'!AL25</f>
        <v>392025.41526597756</v>
      </c>
      <c r="AC9" s="86">
        <f>'Benefits-Cost-calcs'!AM25</f>
        <v>392025.41526597756</v>
      </c>
      <c r="AD9" s="86">
        <f>'Benefits-Cost-calcs'!AN25</f>
        <v>392025.41526597756</v>
      </c>
      <c r="AE9" s="86">
        <f>'Benefits-Cost-calcs'!AO25</f>
        <v>392025.41526597756</v>
      </c>
      <c r="AF9" s="86" t="e">
        <f>'Benefits-Cost-calcs'!#REF!</f>
        <v>#REF!</v>
      </c>
    </row>
    <row r="10" spans="1:32">
      <c r="A10" s="68" t="s">
        <v>57</v>
      </c>
    </row>
    <row r="11" spans="1:32">
      <c r="A11" s="73" t="s">
        <v>50</v>
      </c>
      <c r="B11" s="86">
        <f>'Benefits-Cost-calcs'!L28</f>
        <v>6035980.8849458946</v>
      </c>
      <c r="C11" s="86">
        <f>'Benefits-Cost-calcs'!M28</f>
        <v>6296464.4867249997</v>
      </c>
      <c r="D11" s="86">
        <f>'Benefits-Cost-calcs'!N28</f>
        <v>6568189.2948778756</v>
      </c>
      <c r="E11" s="86">
        <f>'Benefits-Cost-calcs'!O28</f>
        <v>6851640.4252424287</v>
      </c>
      <c r="F11" s="86">
        <f>'Benefits-Cost-calcs'!P28</f>
        <v>7147323.9288985981</v>
      </c>
      <c r="G11" s="86">
        <f>'Benefits-Cost-calcs'!Q28</f>
        <v>7455767.6956316633</v>
      </c>
      <c r="H11" s="86">
        <f>'Benefits-Cost-calcs'!R28</f>
        <v>7777522.3963846369</v>
      </c>
      <c r="I11" s="86">
        <f>'Benefits-Cost-calcs'!S28</f>
        <v>8113162.466382321</v>
      </c>
      <c r="J11" s="86">
        <f>'Benefits-Cost-calcs'!T28</f>
        <v>8463287.1306822244</v>
      </c>
      <c r="K11" s="86">
        <f>'Benefits-Cost-calcs'!U28</f>
        <v>8828521.4739832655</v>
      </c>
      <c r="L11" s="86">
        <f>'Benefits-Cost-calcs'!V28</f>
        <v>9209517.5566022303</v>
      </c>
      <c r="M11" s="86">
        <f>'Benefits-Cost-calcs'!W28</f>
        <v>9606955.5786103401</v>
      </c>
      <c r="N11" s="86">
        <f>'Benefits-Cost-calcs'!X28</f>
        <v>10021545.094208304</v>
      </c>
      <c r="O11" s="86">
        <f>'Benefits-Cost-calcs'!Y28</f>
        <v>10454026.278507896</v>
      </c>
      <c r="P11" s="86">
        <f>'Benefits-Cost-calcs'!Z28</f>
        <v>10905171.248981664</v>
      </c>
      <c r="Q11" s="86">
        <f>'Benefits-Cost-calcs'!AA28</f>
        <v>11375785.443939995</v>
      </c>
      <c r="R11" s="86">
        <f>'Benefits-Cost-calcs'!AB28</f>
        <v>11866709.060496539</v>
      </c>
      <c r="S11" s="86">
        <f>'Benefits-Cost-calcs'!AC28</f>
        <v>12378818.554589244</v>
      </c>
      <c r="T11" s="86">
        <f>'Benefits-Cost-calcs'!AD28</f>
        <v>12913028.205735</v>
      </c>
      <c r="U11" s="86">
        <f>'Benefits-Cost-calcs'!AE28</f>
        <v>12913028.205735</v>
      </c>
      <c r="V11" s="86">
        <f>'Benefits-Cost-calcs'!AF28</f>
        <v>12913028.205735</v>
      </c>
      <c r="W11" s="86">
        <f>'Benefits-Cost-calcs'!AG28</f>
        <v>12913028.205735</v>
      </c>
      <c r="X11" s="86">
        <f>'Benefits-Cost-calcs'!AH28</f>
        <v>12913028.205735</v>
      </c>
      <c r="Y11" s="86">
        <f>'Benefits-Cost-calcs'!AI28</f>
        <v>12913028.205735</v>
      </c>
      <c r="Z11" s="86">
        <f>'Benefits-Cost-calcs'!AJ28</f>
        <v>12913028.205735</v>
      </c>
      <c r="AA11" s="86">
        <f>'Benefits-Cost-calcs'!AK28</f>
        <v>12913028.205735</v>
      </c>
      <c r="AB11" s="86">
        <f>'Benefits-Cost-calcs'!AL28</f>
        <v>12913028.205735</v>
      </c>
      <c r="AC11" s="86">
        <f>'Benefits-Cost-calcs'!AM28</f>
        <v>12913028.205735</v>
      </c>
      <c r="AD11" s="86">
        <f>'Benefits-Cost-calcs'!AN28</f>
        <v>12913028.205735</v>
      </c>
      <c r="AE11" s="86">
        <f>'Benefits-Cost-calcs'!AO28</f>
        <v>12913028.205735</v>
      </c>
      <c r="AF11" s="86" t="e">
        <f>'Benefits-Cost-calcs'!#REF!</f>
        <v>#REF!</v>
      </c>
    </row>
    <row r="12" spans="1:32">
      <c r="A12" s="73" t="s">
        <v>56</v>
      </c>
      <c r="B12" s="86">
        <f>'Benefits-Cost-calcs'!L29</f>
        <v>147881.53168117441</v>
      </c>
      <c r="C12" s="86">
        <f>'Benefits-Cost-calcs'!M29</f>
        <v>154263.3799247625</v>
      </c>
      <c r="D12" s="86">
        <f>'Benefits-Cost-calcs'!N29</f>
        <v>160920.63772450795</v>
      </c>
      <c r="E12" s="86">
        <f>'Benefits-Cost-calcs'!O29</f>
        <v>167865.19041843951</v>
      </c>
      <c r="F12" s="86">
        <f>'Benefits-Cost-calcs'!P29</f>
        <v>175109.43625801566</v>
      </c>
      <c r="G12" s="86">
        <f>'Benefits-Cost-calcs'!Q29</f>
        <v>182666.30854297575</v>
      </c>
      <c r="H12" s="86">
        <f>'Benefits-Cost-calcs'!R29</f>
        <v>190549.29871142359</v>
      </c>
      <c r="I12" s="86">
        <f>'Benefits-Cost-calcs'!S29</f>
        <v>198772.48042636688</v>
      </c>
      <c r="J12" s="86">
        <f>'Benefits-Cost-calcs'!T29</f>
        <v>207350.5347017145</v>
      </c>
      <c r="K12" s="86">
        <f>'Benefits-Cost-calcs'!U29</f>
        <v>216298.77611259001</v>
      </c>
      <c r="L12" s="86">
        <f>'Benefits-Cost-calcs'!V29</f>
        <v>225633.18013675467</v>
      </c>
      <c r="M12" s="86">
        <f>'Benefits-Cost-calcs'!W29</f>
        <v>235370.41167595334</v>
      </c>
      <c r="N12" s="86">
        <f>'Benefits-Cost-calcs'!X29</f>
        <v>245527.85480810344</v>
      </c>
      <c r="O12" s="86">
        <f>'Benefits-Cost-calcs'!Y29</f>
        <v>256123.64382344348</v>
      </c>
      <c r="P12" s="86">
        <f>'Benefits-Cost-calcs'!Z29</f>
        <v>267176.69560005073</v>
      </c>
      <c r="Q12" s="86">
        <f>'Benefits-Cost-calcs'!AA29</f>
        <v>278706.74337652989</v>
      </c>
      <c r="R12" s="86">
        <f>'Benefits-Cost-calcs'!AB29</f>
        <v>290734.3719821652</v>
      </c>
      <c r="S12" s="86">
        <f>'Benefits-Cost-calcs'!AC29</f>
        <v>303281.05458743649</v>
      </c>
      <c r="T12" s="86">
        <f>'Benefits-Cost-calcs'!AD29</f>
        <v>316369.19104050746</v>
      </c>
      <c r="U12" s="86">
        <f>'Benefits-Cost-calcs'!AE29</f>
        <v>316369.19104050746</v>
      </c>
      <c r="V12" s="86">
        <f>'Benefits-Cost-calcs'!AF29</f>
        <v>316369.19104050746</v>
      </c>
      <c r="W12" s="86">
        <f>'Benefits-Cost-calcs'!AG29</f>
        <v>316369.19104050746</v>
      </c>
      <c r="X12" s="86">
        <f>'Benefits-Cost-calcs'!AH29</f>
        <v>316369.19104050746</v>
      </c>
      <c r="Y12" s="86">
        <f>'Benefits-Cost-calcs'!AI29</f>
        <v>316369.19104050746</v>
      </c>
      <c r="Z12" s="86">
        <f>'Benefits-Cost-calcs'!AJ29</f>
        <v>316369.19104050746</v>
      </c>
      <c r="AA12" s="86">
        <f>'Benefits-Cost-calcs'!AK29</f>
        <v>316369.19104050746</v>
      </c>
      <c r="AB12" s="86">
        <f>'Benefits-Cost-calcs'!AL29</f>
        <v>316369.19104050746</v>
      </c>
      <c r="AC12" s="86">
        <f>'Benefits-Cost-calcs'!AM29</f>
        <v>316369.19104050746</v>
      </c>
      <c r="AD12" s="86">
        <f>'Benefits-Cost-calcs'!AN29</f>
        <v>316369.19104050746</v>
      </c>
      <c r="AE12" s="86">
        <f>'Benefits-Cost-calcs'!AO29</f>
        <v>316369.19104050746</v>
      </c>
      <c r="AF12" s="86" t="e">
        <f>'Benefits-Cost-calcs'!#REF!</f>
        <v>#REF!</v>
      </c>
    </row>
    <row r="14" spans="1:32">
      <c r="A14" s="98" t="s">
        <v>313</v>
      </c>
    </row>
    <row r="15" spans="1:32">
      <c r="A15" s="68" t="s">
        <v>297</v>
      </c>
    </row>
    <row r="16" spans="1:32">
      <c r="A16" s="73" t="s">
        <v>50</v>
      </c>
      <c r="B16" s="86">
        <f t="shared" ref="B16:AF16" si="1">B8*$B$29</f>
        <v>9570205.7328599095</v>
      </c>
      <c r="C16" s="86">
        <f t="shared" si="1"/>
        <v>9690126.5634109881</v>
      </c>
      <c r="D16" s="86">
        <f t="shared" si="1"/>
        <v>9811550.0790663883</v>
      </c>
      <c r="E16" s="86">
        <f t="shared" si="1"/>
        <v>9934495.1094365492</v>
      </c>
      <c r="F16" s="86">
        <f t="shared" si="1"/>
        <v>10058980.720079033</v>
      </c>
      <c r="G16" s="86">
        <f t="shared" si="1"/>
        <v>10185026.215455096</v>
      </c>
      <c r="H16" s="86">
        <f t="shared" si="1"/>
        <v>10312651.141923305</v>
      </c>
      <c r="I16" s="86">
        <f t="shared" si="1"/>
        <v>10441875.290770669</v>
      </c>
      <c r="J16" s="86">
        <f t="shared" si="1"/>
        <v>10572718.701281739</v>
      </c>
      <c r="K16" s="86">
        <f t="shared" si="1"/>
        <v>10705201.663846197</v>
      </c>
      <c r="L16" s="86">
        <f t="shared" si="1"/>
        <v>10839344.723105341</v>
      </c>
      <c r="M16" s="86">
        <f t="shared" si="1"/>
        <v>10975168.681138039</v>
      </c>
      <c r="N16" s="86">
        <f t="shared" si="1"/>
        <v>11112694.600686578</v>
      </c>
      <c r="O16" s="86">
        <f t="shared" si="1"/>
        <v>11251943.808422949</v>
      </c>
      <c r="P16" s="86">
        <f t="shared" si="1"/>
        <v>11392937.898256054</v>
      </c>
      <c r="Q16" s="86">
        <f t="shared" si="1"/>
        <v>11535698.734680355</v>
      </c>
      <c r="R16" s="86">
        <f t="shared" si="1"/>
        <v>11680248.456166489</v>
      </c>
      <c r="S16" s="86">
        <f t="shared" si="1"/>
        <v>11826609.478594359</v>
      </c>
      <c r="T16" s="86">
        <f t="shared" si="1"/>
        <v>11974804.498729287</v>
      </c>
      <c r="U16" s="86">
        <f t="shared" si="1"/>
        <v>11974804.498729287</v>
      </c>
      <c r="V16" s="86">
        <f t="shared" si="1"/>
        <v>11974804.498729287</v>
      </c>
      <c r="W16" s="86">
        <f t="shared" si="1"/>
        <v>11974804.498729287</v>
      </c>
      <c r="X16" s="86">
        <f t="shared" si="1"/>
        <v>11974804.498729287</v>
      </c>
      <c r="Y16" s="86">
        <f t="shared" si="1"/>
        <v>11974804.498729287</v>
      </c>
      <c r="Z16" s="86">
        <f t="shared" si="1"/>
        <v>11974804.498729287</v>
      </c>
      <c r="AA16" s="86">
        <f t="shared" si="1"/>
        <v>11974804.498729287</v>
      </c>
      <c r="AB16" s="86">
        <f t="shared" si="1"/>
        <v>11974804.498729287</v>
      </c>
      <c r="AC16" s="86">
        <f t="shared" si="1"/>
        <v>11974804.498729287</v>
      </c>
      <c r="AD16" s="86">
        <f t="shared" si="1"/>
        <v>11974804.498729287</v>
      </c>
      <c r="AE16" s="86">
        <f t="shared" si="1"/>
        <v>11974804.498729287</v>
      </c>
      <c r="AF16" s="86" t="e">
        <f t="shared" si="1"/>
        <v>#REF!</v>
      </c>
    </row>
    <row r="17" spans="1:32">
      <c r="A17" s="73" t="s">
        <v>56</v>
      </c>
      <c r="B17" s="86">
        <f t="shared" ref="B17:AF17" si="2">B9*$C$29</f>
        <v>862172.75791277201</v>
      </c>
      <c r="C17" s="86">
        <f t="shared" si="2"/>
        <v>872976.33686326514</v>
      </c>
      <c r="D17" s="86">
        <f t="shared" si="2"/>
        <v>883915.29160366615</v>
      </c>
      <c r="E17" s="86">
        <f t="shared" si="2"/>
        <v>894991.31847965613</v>
      </c>
      <c r="F17" s="86">
        <f t="shared" si="2"/>
        <v>906206.13509321841</v>
      </c>
      <c r="G17" s="86">
        <f t="shared" si="2"/>
        <v>917561.48056899314</v>
      </c>
      <c r="H17" s="86">
        <f t="shared" si="2"/>
        <v>929059.11582396971</v>
      </c>
      <c r="I17" s="86">
        <f t="shared" si="2"/>
        <v>940700.82384056086</v>
      </c>
      <c r="J17" s="86">
        <f t="shared" si="2"/>
        <v>952488.40994309413</v>
      </c>
      <c r="K17" s="86">
        <f t="shared" si="2"/>
        <v>964423.70207777212</v>
      </c>
      <c r="L17" s="86">
        <f t="shared" si="2"/>
        <v>976508.55109613808</v>
      </c>
      <c r="M17" s="86">
        <f t="shared" si="2"/>
        <v>988744.83104209555</v>
      </c>
      <c r="N17" s="86">
        <f t="shared" si="2"/>
        <v>1001134.4394425224</v>
      </c>
      <c r="O17" s="86">
        <f t="shared" si="2"/>
        <v>1013679.2976015283</v>
      </c>
      <c r="P17" s="86">
        <f t="shared" si="2"/>
        <v>1026381.3508983997</v>
      </c>
      <c r="Q17" s="86">
        <f t="shared" si="2"/>
        <v>1039242.5690892746</v>
      </c>
      <c r="R17" s="86">
        <f t="shared" si="2"/>
        <v>1052264.946612603</v>
      </c>
      <c r="S17" s="86">
        <f t="shared" si="2"/>
        <v>1065450.5028984302</v>
      </c>
      <c r="T17" s="86">
        <f t="shared" si="2"/>
        <v>1078801.2826815613</v>
      </c>
      <c r="U17" s="86">
        <f t="shared" si="2"/>
        <v>1078801.2826815613</v>
      </c>
      <c r="V17" s="86">
        <f t="shared" si="2"/>
        <v>1078801.2826815613</v>
      </c>
      <c r="W17" s="86">
        <f t="shared" si="2"/>
        <v>1078801.2826815613</v>
      </c>
      <c r="X17" s="86">
        <f t="shared" si="2"/>
        <v>1078801.2826815613</v>
      </c>
      <c r="Y17" s="86">
        <f t="shared" si="2"/>
        <v>1078801.2826815613</v>
      </c>
      <c r="Z17" s="86">
        <f t="shared" si="2"/>
        <v>1078801.2826815613</v>
      </c>
      <c r="AA17" s="86">
        <f t="shared" si="2"/>
        <v>1078801.2826815613</v>
      </c>
      <c r="AB17" s="86">
        <f t="shared" si="2"/>
        <v>1078801.2826815613</v>
      </c>
      <c r="AC17" s="86">
        <f t="shared" si="2"/>
        <v>1078801.2826815613</v>
      </c>
      <c r="AD17" s="86">
        <f t="shared" si="2"/>
        <v>1078801.2826815613</v>
      </c>
      <c r="AE17" s="86">
        <f t="shared" si="2"/>
        <v>1078801.2826815613</v>
      </c>
      <c r="AF17" s="86" t="e">
        <f t="shared" si="2"/>
        <v>#REF!</v>
      </c>
    </row>
    <row r="18" spans="1:32">
      <c r="A18" s="68" t="s">
        <v>298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</row>
    <row r="19" spans="1:32">
      <c r="A19" s="73" t="s">
        <v>50</v>
      </c>
      <c r="B19" s="86">
        <f t="shared" ref="B19:AF19" si="3">B11*$B$29</f>
        <v>4517187.8197061149</v>
      </c>
      <c r="C19" s="86">
        <f t="shared" si="3"/>
        <v>4712127.6937081013</v>
      </c>
      <c r="D19" s="86">
        <f t="shared" si="3"/>
        <v>4915480.2253175769</v>
      </c>
      <c r="E19" s="86">
        <f t="shared" si="3"/>
        <v>5127608.4639536683</v>
      </c>
      <c r="F19" s="86">
        <f t="shared" si="3"/>
        <v>5348891.12648411</v>
      </c>
      <c r="G19" s="86">
        <f t="shared" si="3"/>
        <v>5579723.2733561862</v>
      </c>
      <c r="H19" s="86">
        <f t="shared" si="3"/>
        <v>5820517.0139062023</v>
      </c>
      <c r="I19" s="86">
        <f t="shared" si="3"/>
        <v>6071702.242106678</v>
      </c>
      <c r="J19" s="86">
        <f t="shared" si="3"/>
        <v>6333727.4040648229</v>
      </c>
      <c r="K19" s="86">
        <f t="shared" si="3"/>
        <v>6607060.2986425059</v>
      </c>
      <c r="L19" s="86">
        <f t="shared" si="3"/>
        <v>6892188.9126271009</v>
      </c>
      <c r="M19" s="86">
        <f t="shared" si="3"/>
        <v>7189622.2919442421</v>
      </c>
      <c r="N19" s="86">
        <f t="shared" si="3"/>
        <v>7499891.4504678892</v>
      </c>
      <c r="O19" s="86">
        <f t="shared" si="3"/>
        <v>7823550.3180502215</v>
      </c>
      <c r="P19" s="86">
        <f t="shared" si="3"/>
        <v>8161176.7294638893</v>
      </c>
      <c r="Q19" s="86">
        <f t="shared" si="3"/>
        <v>8513373.456022216</v>
      </c>
      <c r="R19" s="86">
        <f t="shared" si="3"/>
        <v>8880769.2817190979</v>
      </c>
      <c r="S19" s="86">
        <f t="shared" si="3"/>
        <v>9264020.1258098949</v>
      </c>
      <c r="T19" s="86">
        <f t="shared" si="3"/>
        <v>9663810.2138374336</v>
      </c>
      <c r="U19" s="86">
        <f t="shared" si="3"/>
        <v>9663810.2138374336</v>
      </c>
      <c r="V19" s="86">
        <f t="shared" si="3"/>
        <v>9663810.2138374336</v>
      </c>
      <c r="W19" s="86">
        <f t="shared" si="3"/>
        <v>9663810.2138374336</v>
      </c>
      <c r="X19" s="86">
        <f t="shared" si="3"/>
        <v>9663810.2138374336</v>
      </c>
      <c r="Y19" s="86">
        <f t="shared" si="3"/>
        <v>9663810.2138374336</v>
      </c>
      <c r="Z19" s="86">
        <f t="shared" si="3"/>
        <v>9663810.2138374336</v>
      </c>
      <c r="AA19" s="86">
        <f t="shared" si="3"/>
        <v>9663810.2138374336</v>
      </c>
      <c r="AB19" s="86">
        <f t="shared" si="3"/>
        <v>9663810.2138374336</v>
      </c>
      <c r="AC19" s="86">
        <f t="shared" si="3"/>
        <v>9663810.2138374336</v>
      </c>
      <c r="AD19" s="86">
        <f t="shared" si="3"/>
        <v>9663810.2138374336</v>
      </c>
      <c r="AE19" s="86">
        <f t="shared" si="3"/>
        <v>9663810.2138374336</v>
      </c>
      <c r="AF19" s="86" t="e">
        <f t="shared" si="3"/>
        <v>#REF!</v>
      </c>
    </row>
    <row r="20" spans="1:32">
      <c r="A20" s="73" t="s">
        <v>56</v>
      </c>
      <c r="B20" s="86">
        <f t="shared" ref="B20:AF20" si="4">B12*$C$29</f>
        <v>406950.11050323176</v>
      </c>
      <c r="C20" s="86">
        <f t="shared" si="4"/>
        <v>424512.0996063893</v>
      </c>
      <c r="D20" s="86">
        <f t="shared" si="4"/>
        <v>442831.97881277831</v>
      </c>
      <c r="E20" s="86">
        <f t="shared" si="4"/>
        <v>461942.45497611613</v>
      </c>
      <c r="F20" s="86">
        <f t="shared" si="4"/>
        <v>481877.64641897957</v>
      </c>
      <c r="G20" s="86">
        <f t="shared" si="4"/>
        <v>502673.1438449425</v>
      </c>
      <c r="H20" s="86">
        <f t="shared" si="4"/>
        <v>524366.07387938385</v>
      </c>
      <c r="I20" s="86">
        <f t="shared" si="4"/>
        <v>546995.16535240877</v>
      </c>
      <c r="J20" s="86">
        <f t="shared" si="4"/>
        <v>570600.81844221801</v>
      </c>
      <c r="K20" s="86">
        <f t="shared" si="4"/>
        <v>595225.17680236977</v>
      </c>
      <c r="L20" s="86">
        <f t="shared" si="4"/>
        <v>620912.20280170348</v>
      </c>
      <c r="M20" s="86">
        <f t="shared" si="4"/>
        <v>647707.75601125206</v>
      </c>
      <c r="N20" s="86">
        <f t="shared" si="4"/>
        <v>675659.67507826968</v>
      </c>
      <c r="O20" s="86">
        <f t="shared" si="4"/>
        <v>704817.86313354305</v>
      </c>
      <c r="P20" s="86">
        <f t="shared" si="4"/>
        <v>735234.3768844679</v>
      </c>
      <c r="Q20" s="86">
        <f t="shared" si="4"/>
        <v>766963.51955295063</v>
      </c>
      <c r="R20" s="86">
        <f t="shared" si="4"/>
        <v>800061.9378240552</v>
      </c>
      <c r="S20" s="86">
        <f t="shared" si="4"/>
        <v>834588.72297848645</v>
      </c>
      <c r="T20" s="86">
        <f t="shared" si="4"/>
        <v>870605.516389456</v>
      </c>
      <c r="U20" s="86">
        <f t="shared" si="4"/>
        <v>870605.516389456</v>
      </c>
      <c r="V20" s="86">
        <f t="shared" si="4"/>
        <v>870605.516389456</v>
      </c>
      <c r="W20" s="86">
        <f t="shared" si="4"/>
        <v>870605.516389456</v>
      </c>
      <c r="X20" s="86">
        <f t="shared" si="4"/>
        <v>870605.516389456</v>
      </c>
      <c r="Y20" s="86">
        <f t="shared" si="4"/>
        <v>870605.516389456</v>
      </c>
      <c r="Z20" s="86">
        <f t="shared" si="4"/>
        <v>870605.516389456</v>
      </c>
      <c r="AA20" s="86">
        <f t="shared" si="4"/>
        <v>870605.516389456</v>
      </c>
      <c r="AB20" s="86">
        <f t="shared" si="4"/>
        <v>870605.516389456</v>
      </c>
      <c r="AC20" s="86">
        <f t="shared" si="4"/>
        <v>870605.516389456</v>
      </c>
      <c r="AD20" s="86">
        <f t="shared" si="4"/>
        <v>870605.516389456</v>
      </c>
      <c r="AE20" s="86">
        <f t="shared" si="4"/>
        <v>870605.516389456</v>
      </c>
      <c r="AF20" s="86" t="e">
        <f t="shared" si="4"/>
        <v>#REF!</v>
      </c>
    </row>
    <row r="24" spans="1:32">
      <c r="B24" s="275" t="s">
        <v>50</v>
      </c>
      <c r="C24" s="275" t="s">
        <v>56</v>
      </c>
    </row>
    <row r="25" spans="1:32">
      <c r="A25" t="s">
        <v>312</v>
      </c>
      <c r="B25" s="92">
        <f>Assumptions!C48*10.05/35.5</f>
        <v>6.6811267605633811</v>
      </c>
      <c r="C25" s="92">
        <f>Assumptions!C49*10.05/35.4</f>
        <v>1.8169491525423731</v>
      </c>
      <c r="D25" t="s">
        <v>414</v>
      </c>
    </row>
    <row r="26" spans="1:32">
      <c r="A26" t="s">
        <v>320</v>
      </c>
    </row>
    <row r="27" spans="1:32">
      <c r="A27" s="91" t="s">
        <v>310</v>
      </c>
      <c r="B27" s="333">
        <f>1/B25</f>
        <v>0.14967535205329285</v>
      </c>
      <c r="C27" s="333">
        <f>1/C25</f>
        <v>0.5503731343283581</v>
      </c>
    </row>
    <row r="28" spans="1:32">
      <c r="A28" s="91" t="s">
        <v>309</v>
      </c>
      <c r="B28">
        <v>5</v>
      </c>
      <c r="C28">
        <v>5</v>
      </c>
    </row>
    <row r="29" spans="1:32">
      <c r="A29" s="91" t="s">
        <v>311</v>
      </c>
      <c r="B29" s="334">
        <f>B28*B27</f>
        <v>0.74837676026646427</v>
      </c>
      <c r="C29" s="334">
        <f>C28*C27</f>
        <v>2.7518656716417906</v>
      </c>
    </row>
    <row r="31" spans="1:32">
      <c r="B31" s="21">
        <f>10.05/35.5</f>
        <v>0.28309859154929579</v>
      </c>
      <c r="H31" s="334"/>
      <c r="I31" s="334"/>
    </row>
    <row r="33" spans="1:9">
      <c r="H33" s="334"/>
      <c r="I33" s="334"/>
    </row>
    <row r="36" spans="1:9">
      <c r="A36" s="68"/>
      <c r="B36" s="333"/>
      <c r="C36" s="333"/>
      <c r="D36" s="333"/>
    </row>
    <row r="37" spans="1:9">
      <c r="A37" s="68"/>
    </row>
    <row r="38" spans="1:9">
      <c r="A38" s="68"/>
      <c r="B38" s="334"/>
      <c r="C38" s="334"/>
      <c r="D38" s="33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06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8" sqref="A8"/>
      <selection pane="bottomRight" activeCell="A39" sqref="A39"/>
    </sheetView>
  </sheetViews>
  <sheetFormatPr defaultRowHeight="14.4"/>
  <cols>
    <col min="1" max="1" width="31.5546875" customWidth="1"/>
    <col min="2" max="32" width="12.6640625" customWidth="1"/>
  </cols>
  <sheetData>
    <row r="1" spans="1:32">
      <c r="A1" s="7" t="s">
        <v>395</v>
      </c>
      <c r="B1" s="8"/>
    </row>
    <row r="2" spans="1:32">
      <c r="A2" s="8" t="s">
        <v>398</v>
      </c>
      <c r="B2" s="8"/>
      <c r="C2" s="72"/>
    </row>
    <row r="5" spans="1:32">
      <c r="B5" s="285">
        <v>2024</v>
      </c>
      <c r="C5" s="74">
        <v>2025</v>
      </c>
      <c r="D5" s="74">
        <f>C5+1</f>
        <v>2026</v>
      </c>
      <c r="E5" s="74">
        <f t="shared" ref="E5:AF5" si="0">D5+1</f>
        <v>2027</v>
      </c>
      <c r="F5" s="74">
        <f t="shared" si="0"/>
        <v>2028</v>
      </c>
      <c r="G5" s="74">
        <f t="shared" si="0"/>
        <v>2029</v>
      </c>
      <c r="H5" s="74">
        <f t="shared" si="0"/>
        <v>2030</v>
      </c>
      <c r="I5" s="74">
        <f t="shared" si="0"/>
        <v>2031</v>
      </c>
      <c r="J5" s="74">
        <f t="shared" si="0"/>
        <v>2032</v>
      </c>
      <c r="K5" s="74">
        <f t="shared" si="0"/>
        <v>2033</v>
      </c>
      <c r="L5" s="74">
        <f t="shared" si="0"/>
        <v>2034</v>
      </c>
      <c r="M5" s="74">
        <f t="shared" si="0"/>
        <v>2035</v>
      </c>
      <c r="N5" s="74">
        <f t="shared" si="0"/>
        <v>2036</v>
      </c>
      <c r="O5" s="74">
        <f t="shared" si="0"/>
        <v>2037</v>
      </c>
      <c r="P5" s="74">
        <f t="shared" si="0"/>
        <v>2038</v>
      </c>
      <c r="Q5" s="74">
        <f t="shared" si="0"/>
        <v>2039</v>
      </c>
      <c r="R5" s="74">
        <f t="shared" si="0"/>
        <v>2040</v>
      </c>
      <c r="S5" s="74">
        <f t="shared" si="0"/>
        <v>2041</v>
      </c>
      <c r="T5" s="74">
        <f t="shared" si="0"/>
        <v>2042</v>
      </c>
      <c r="U5" s="74">
        <f t="shared" si="0"/>
        <v>2043</v>
      </c>
      <c r="V5" s="74">
        <f t="shared" si="0"/>
        <v>2044</v>
      </c>
      <c r="W5" s="74">
        <f t="shared" si="0"/>
        <v>2045</v>
      </c>
      <c r="X5" s="74">
        <f t="shared" si="0"/>
        <v>2046</v>
      </c>
      <c r="Y5" s="74">
        <f t="shared" si="0"/>
        <v>2047</v>
      </c>
      <c r="Z5" s="74">
        <f t="shared" si="0"/>
        <v>2048</v>
      </c>
      <c r="AA5" s="74">
        <f t="shared" si="0"/>
        <v>2049</v>
      </c>
      <c r="AB5" s="74">
        <f t="shared" si="0"/>
        <v>2050</v>
      </c>
      <c r="AC5" s="74">
        <f t="shared" si="0"/>
        <v>2051</v>
      </c>
      <c r="AD5" s="74">
        <f t="shared" si="0"/>
        <v>2052</v>
      </c>
      <c r="AE5" s="74">
        <f t="shared" si="0"/>
        <v>2053</v>
      </c>
      <c r="AF5" s="74">
        <f t="shared" si="0"/>
        <v>2054</v>
      </c>
    </row>
    <row r="6" spans="1:32">
      <c r="A6" s="8" t="s">
        <v>115</v>
      </c>
      <c r="B6" s="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>
      <c r="A7" s="8" t="s">
        <v>171</v>
      </c>
      <c r="B7" s="8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1:32">
      <c r="A8" s="68" t="s">
        <v>50</v>
      </c>
      <c r="B8" s="68"/>
      <c r="C8" s="75"/>
      <c r="D8" s="12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</row>
    <row r="9" spans="1:32">
      <c r="A9" s="73" t="s">
        <v>51</v>
      </c>
      <c r="B9" s="101">
        <f>C9/($T9/$C9)^(1/17)</f>
        <v>0.23865475922001314</v>
      </c>
      <c r="C9" s="107">
        <v>0.22127568214669652</v>
      </c>
      <c r="D9" s="101">
        <f>C9*($T9/$C9)^(1/17)</f>
        <v>0.20516216676134874</v>
      </c>
      <c r="E9" s="101">
        <f t="shared" ref="E9:S9" si="1">D9*($T9/$C9)^(1/17)</f>
        <v>0.19022205360237715</v>
      </c>
      <c r="F9" s="101">
        <f t="shared" si="1"/>
        <v>0.17636989435189843</v>
      </c>
      <c r="G9" s="101">
        <f t="shared" si="1"/>
        <v>0.16352646312357488</v>
      </c>
      <c r="H9" s="101">
        <f t="shared" si="1"/>
        <v>0.15161830333895679</v>
      </c>
      <c r="I9" s="101">
        <f t="shared" si="1"/>
        <v>0.14057730760074039</v>
      </c>
      <c r="J9" s="101">
        <f t="shared" si="1"/>
        <v>0.1303403281600734</v>
      </c>
      <c r="K9" s="101">
        <f t="shared" si="1"/>
        <v>0.12084881575001902</v>
      </c>
      <c r="L9" s="101">
        <f t="shared" si="1"/>
        <v>0.11204848471952643</v>
      </c>
      <c r="M9" s="101">
        <f t="shared" si="1"/>
        <v>0.1038890025526789</v>
      </c>
      <c r="N9" s="101">
        <f t="shared" si="1"/>
        <v>9.6323701997459182E-2</v>
      </c>
      <c r="O9" s="101">
        <f t="shared" si="1"/>
        <v>8.9309314157584724E-2</v>
      </c>
      <c r="P9" s="101">
        <f t="shared" si="1"/>
        <v>8.2805721020861076E-2</v>
      </c>
      <c r="Q9" s="101">
        <f t="shared" si="1"/>
        <v>7.677572600866682E-2</v>
      </c>
      <c r="R9" s="101">
        <f t="shared" si="1"/>
        <v>7.1184841234253449E-2</v>
      </c>
      <c r="S9" s="101">
        <f t="shared" si="1"/>
        <v>6.6001090253107478E-2</v>
      </c>
      <c r="T9" s="107">
        <v>6.1194825177227498E-2</v>
      </c>
      <c r="U9" s="101">
        <v>6.1194825177227498E-2</v>
      </c>
      <c r="V9" s="101">
        <v>6.1194825177227498E-2</v>
      </c>
      <c r="W9" s="101">
        <v>6.1194825177227498E-2</v>
      </c>
      <c r="X9" s="101">
        <v>6.1194825177227498E-2</v>
      </c>
      <c r="Y9" s="101">
        <v>6.1194825177227498E-2</v>
      </c>
      <c r="Z9" s="101">
        <v>6.1194825177227498E-2</v>
      </c>
      <c r="AA9" s="101">
        <v>6.1194825177227498E-2</v>
      </c>
      <c r="AB9" s="101">
        <v>6.1194825177227498E-2</v>
      </c>
      <c r="AC9" s="101">
        <v>6.1194825177227498E-2</v>
      </c>
      <c r="AD9" s="101">
        <v>6.1194825177227498E-2</v>
      </c>
      <c r="AE9" s="101">
        <v>6.1194825177227498E-2</v>
      </c>
      <c r="AF9" s="101">
        <v>6.1194825177227498E-2</v>
      </c>
    </row>
    <row r="10" spans="1:32">
      <c r="A10" s="73" t="s">
        <v>52</v>
      </c>
      <c r="B10" s="101">
        <f t="shared" ref="B10:B13" si="2">C10/($T10/$C10)^(1/17)</f>
        <v>0.28239353145879559</v>
      </c>
      <c r="C10" s="107">
        <v>0.27347431131358851</v>
      </c>
      <c r="D10" s="101">
        <f t="shared" ref="D10:S10" si="3">C10*($T10/$C10)^(1/17)</f>
        <v>0.26483679906582414</v>
      </c>
      <c r="E10" s="101">
        <f t="shared" si="3"/>
        <v>0.25647209715067171</v>
      </c>
      <c r="F10" s="101">
        <f t="shared" si="3"/>
        <v>0.24837158902722856</v>
      </c>
      <c r="G10" s="101">
        <f t="shared" si="3"/>
        <v>0.24052693030255809</v>
      </c>
      <c r="H10" s="101">
        <f t="shared" si="3"/>
        <v>0.23293004013606922</v>
      </c>
      <c r="I10" s="101">
        <f t="shared" si="3"/>
        <v>0.22557309291538313</v>
      </c>
      <c r="J10" s="101">
        <f t="shared" si="3"/>
        <v>0.21844851019511247</v>
      </c>
      <c r="K10" s="101">
        <f t="shared" si="3"/>
        <v>0.21154895289024903</v>
      </c>
      <c r="L10" s="101">
        <f t="shared" si="3"/>
        <v>0.20486731371611844</v>
      </c>
      <c r="M10" s="101">
        <f t="shared" si="3"/>
        <v>0.19839670986711394</v>
      </c>
      <c r="N10" s="101">
        <f t="shared" si="3"/>
        <v>0.19213047592666777</v>
      </c>
      <c r="O10" s="101">
        <f t="shared" si="3"/>
        <v>0.18606215700115655</v>
      </c>
      <c r="P10" s="101">
        <f t="shared" si="3"/>
        <v>0.18018550207066805</v>
      </c>
      <c r="Q10" s="101">
        <f t="shared" si="3"/>
        <v>0.17449445754977949</v>
      </c>
      <c r="R10" s="101">
        <f t="shared" si="3"/>
        <v>0.16898316105171485</v>
      </c>
      <c r="S10" s="101">
        <f t="shared" si="3"/>
        <v>0.16364593534945707</v>
      </c>
      <c r="T10" s="107">
        <v>0.15847728252759499</v>
      </c>
      <c r="U10" s="101">
        <v>0.15847728252759499</v>
      </c>
      <c r="V10" s="101">
        <v>0.15847728252759499</v>
      </c>
      <c r="W10" s="101">
        <v>0.15847728252759499</v>
      </c>
      <c r="X10" s="101">
        <v>0.15847728252759499</v>
      </c>
      <c r="Y10" s="101">
        <v>0.15847728252759499</v>
      </c>
      <c r="Z10" s="101">
        <v>0.15847728252759499</v>
      </c>
      <c r="AA10" s="101">
        <v>0.15847728252759499</v>
      </c>
      <c r="AB10" s="101">
        <v>0.15847728252759499</v>
      </c>
      <c r="AC10" s="101">
        <v>0.15847728252759499</v>
      </c>
      <c r="AD10" s="101">
        <v>0.15847728252759499</v>
      </c>
      <c r="AE10" s="101">
        <v>0.15847728252759499</v>
      </c>
      <c r="AF10" s="101">
        <v>0.15847728252759499</v>
      </c>
    </row>
    <row r="11" spans="1:32">
      <c r="A11" s="73" t="s">
        <v>53</v>
      </c>
      <c r="B11" s="101">
        <f t="shared" si="2"/>
        <v>2.9069609646142049E-2</v>
      </c>
      <c r="C11" s="107">
        <v>2.8690268010278151E-2</v>
      </c>
      <c r="D11" s="101">
        <f t="shared" ref="D11:S11" si="4">C11*($T11/$C11)^(1/17)</f>
        <v>2.8315876563923214E-2</v>
      </c>
      <c r="E11" s="101">
        <f t="shared" si="4"/>
        <v>2.7946370709959867E-2</v>
      </c>
      <c r="F11" s="101">
        <f t="shared" si="4"/>
        <v>2.7581686694225858E-2</v>
      </c>
      <c r="G11" s="101">
        <f t="shared" si="4"/>
        <v>2.7221761594513977E-2</v>
      </c>
      <c r="H11" s="101">
        <f t="shared" si="4"/>
        <v>2.6866533309715512E-2</v>
      </c>
      <c r="I11" s="101">
        <f t="shared" si="4"/>
        <v>2.6515940549105395E-2</v>
      </c>
      <c r="J11" s="101">
        <f t="shared" si="4"/>
        <v>2.6169922821767166E-2</v>
      </c>
      <c r="K11" s="101">
        <f t="shared" si="4"/>
        <v>2.5828420426155928E-2</v>
      </c>
      <c r="L11" s="101">
        <f t="shared" si="4"/>
        <v>2.5491374439797498E-2</v>
      </c>
      <c r="M11" s="101">
        <f t="shared" si="4"/>
        <v>2.5158726709121993E-2</v>
      </c>
      <c r="N11" s="101">
        <f t="shared" si="4"/>
        <v>2.4830419839430067E-2</v>
      </c>
      <c r="O11" s="101">
        <f t="shared" si="4"/>
        <v>2.4506397184990095E-2</v>
      </c>
      <c r="P11" s="101">
        <f t="shared" si="4"/>
        <v>2.4186602839264566E-2</v>
      </c>
      <c r="Q11" s="101">
        <f t="shared" si="4"/>
        <v>2.3870981625264031E-2</v>
      </c>
      <c r="R11" s="101">
        <f t="shared" si="4"/>
        <v>2.3559479086026926E-2</v>
      </c>
      <c r="S11" s="101">
        <f t="shared" si="4"/>
        <v>2.3252041475223618E-2</v>
      </c>
      <c r="T11" s="107">
        <v>2.2948615747883053E-2</v>
      </c>
      <c r="U11" s="101">
        <v>2.2948615747883053E-2</v>
      </c>
      <c r="V11" s="101">
        <v>2.2948615747883053E-2</v>
      </c>
      <c r="W11" s="101">
        <v>2.2948615747883053E-2</v>
      </c>
      <c r="X11" s="101">
        <v>2.2948615747883053E-2</v>
      </c>
      <c r="Y11" s="101">
        <v>2.2948615747883053E-2</v>
      </c>
      <c r="Z11" s="101">
        <v>2.2948615747883053E-2</v>
      </c>
      <c r="AA11" s="101">
        <v>2.2948615747883053E-2</v>
      </c>
      <c r="AB11" s="101">
        <v>2.2948615747883053E-2</v>
      </c>
      <c r="AC11" s="101">
        <v>2.2948615747883053E-2</v>
      </c>
      <c r="AD11" s="101">
        <v>2.2948615747883053E-2</v>
      </c>
      <c r="AE11" s="101">
        <v>2.2948615747883053E-2</v>
      </c>
      <c r="AF11" s="101">
        <v>2.2948615747883053E-2</v>
      </c>
    </row>
    <row r="12" spans="1:32">
      <c r="A12" s="73" t="s">
        <v>54</v>
      </c>
      <c r="B12" s="100">
        <f t="shared" si="2"/>
        <v>2937.5672854702266</v>
      </c>
      <c r="C12" s="108">
        <v>2899.2337270531998</v>
      </c>
      <c r="D12" s="100">
        <f t="shared" ref="D12:S12" si="5">C12*($T12/$C12)^(1/17)</f>
        <v>2861.4003994592013</v>
      </c>
      <c r="E12" s="100">
        <f t="shared" si="5"/>
        <v>2824.0607749645692</v>
      </c>
      <c r="F12" s="100">
        <f t="shared" si="5"/>
        <v>2787.2084110286705</v>
      </c>
      <c r="G12" s="100">
        <f t="shared" si="5"/>
        <v>2750.8369491823105</v>
      </c>
      <c r="H12" s="100">
        <f t="shared" si="5"/>
        <v>2714.9401139306487</v>
      </c>
      <c r="I12" s="100">
        <f t="shared" si="5"/>
        <v>2679.5117116704328</v>
      </c>
      <c r="J12" s="100">
        <f t="shared" si="5"/>
        <v>2644.5456296213592</v>
      </c>
      <c r="K12" s="100">
        <f t="shared" si="5"/>
        <v>2610.0358347713814</v>
      </c>
      <c r="L12" s="100">
        <f t="shared" si="5"/>
        <v>2575.9763728357793</v>
      </c>
      <c r="M12" s="100">
        <f t="shared" si="5"/>
        <v>2542.3613672298143</v>
      </c>
      <c r="N12" s="100">
        <f t="shared" si="5"/>
        <v>2509.1850180547872</v>
      </c>
      <c r="O12" s="100">
        <f t="shared" si="5"/>
        <v>2476.4416010973318</v>
      </c>
      <c r="P12" s="100">
        <f t="shared" si="5"/>
        <v>2444.1254668417637</v>
      </c>
      <c r="Q12" s="100">
        <f t="shared" si="5"/>
        <v>2412.2310394953192</v>
      </c>
      <c r="R12" s="100">
        <f t="shared" si="5"/>
        <v>2380.7528160261136</v>
      </c>
      <c r="S12" s="100">
        <f t="shared" si="5"/>
        <v>2349.6853652136533</v>
      </c>
      <c r="T12" s="108">
        <v>2319.0233267117401</v>
      </c>
      <c r="U12" s="100">
        <v>2319.0233267117401</v>
      </c>
      <c r="V12" s="100">
        <v>2319.0233267117401</v>
      </c>
      <c r="W12" s="100">
        <v>2319.0233267117401</v>
      </c>
      <c r="X12" s="100">
        <v>2319.0233267117401</v>
      </c>
      <c r="Y12" s="100">
        <v>2319.0233267117401</v>
      </c>
      <c r="Z12" s="100">
        <v>2319.0233267117401</v>
      </c>
      <c r="AA12" s="100">
        <v>2319.0233267117401</v>
      </c>
      <c r="AB12" s="100">
        <v>2319.0233267117401</v>
      </c>
      <c r="AC12" s="100">
        <v>2319.0233267117401</v>
      </c>
      <c r="AD12" s="100">
        <v>2319.0233267117401</v>
      </c>
      <c r="AE12" s="100">
        <v>2319.0233267117401</v>
      </c>
      <c r="AF12" s="100">
        <v>2319.0233267117401</v>
      </c>
    </row>
    <row r="13" spans="1:32">
      <c r="A13" s="73" t="s">
        <v>55</v>
      </c>
      <c r="B13" s="101">
        <f t="shared" si="2"/>
        <v>4.3020166642347965E-2</v>
      </c>
      <c r="C13" s="107">
        <v>4.0897755257605251E-2</v>
      </c>
      <c r="D13" s="101">
        <f t="shared" ref="D13:S13" si="6">C13*($T13/$C13)^(1/17)</f>
        <v>3.8880053604080811E-2</v>
      </c>
      <c r="E13" s="101">
        <f t="shared" si="6"/>
        <v>3.6961895799283329E-2</v>
      </c>
      <c r="F13" s="101">
        <f t="shared" si="6"/>
        <v>3.5138370820910737E-2</v>
      </c>
      <c r="G13" s="101">
        <f t="shared" si="6"/>
        <v>3.340480993325487E-2</v>
      </c>
      <c r="H13" s="101">
        <f t="shared" si="6"/>
        <v>3.1756774733927781E-2</v>
      </c>
      <c r="I13" s="101">
        <f t="shared" si="6"/>
        <v>3.0190045790306017E-2</v>
      </c>
      <c r="J13" s="101">
        <f t="shared" si="6"/>
        <v>2.8700611836598947E-2</v>
      </c>
      <c r="K13" s="101">
        <f t="shared" si="6"/>
        <v>2.7284659503882588E-2</v>
      </c>
      <c r="L13" s="101">
        <f t="shared" si="6"/>
        <v>2.5938563556804958E-2</v>
      </c>
      <c r="M13" s="101">
        <f t="shared" si="6"/>
        <v>2.4658877611966168E-2</v>
      </c>
      <c r="N13" s="101">
        <f t="shared" si="6"/>
        <v>2.3442325314209707E-2</v>
      </c>
      <c r="O13" s="101">
        <f t="shared" si="6"/>
        <v>2.2285791948233758E-2</v>
      </c>
      <c r="P13" s="101">
        <f t="shared" si="6"/>
        <v>2.1186316464045878E-2</v>
      </c>
      <c r="Q13" s="101">
        <f t="shared" si="6"/>
        <v>2.0141083895844028E-2</v>
      </c>
      <c r="R13" s="101">
        <f t="shared" si="6"/>
        <v>1.9147418154914105E-2</v>
      </c>
      <c r="S13" s="101">
        <f t="shared" si="6"/>
        <v>1.8202775178091806E-2</v>
      </c>
      <c r="T13" s="107">
        <v>1.730473641424695E-2</v>
      </c>
      <c r="U13" s="101">
        <v>1.730473641424695E-2</v>
      </c>
      <c r="V13" s="101">
        <v>1.730473641424695E-2</v>
      </c>
      <c r="W13" s="101">
        <v>1.730473641424695E-2</v>
      </c>
      <c r="X13" s="101">
        <v>1.730473641424695E-2</v>
      </c>
      <c r="Y13" s="101">
        <v>1.730473641424695E-2</v>
      </c>
      <c r="Z13" s="101">
        <v>1.730473641424695E-2</v>
      </c>
      <c r="AA13" s="101">
        <v>1.730473641424695E-2</v>
      </c>
      <c r="AB13" s="101">
        <v>1.730473641424695E-2</v>
      </c>
      <c r="AC13" s="101">
        <v>1.730473641424695E-2</v>
      </c>
      <c r="AD13" s="101">
        <v>1.730473641424695E-2</v>
      </c>
      <c r="AE13" s="101">
        <v>1.730473641424695E-2</v>
      </c>
      <c r="AF13" s="101">
        <v>1.730473641424695E-2</v>
      </c>
    </row>
    <row r="14" spans="1:32">
      <c r="A14" s="68" t="s">
        <v>56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</row>
    <row r="15" spans="1:32">
      <c r="A15" s="73" t="s">
        <v>51</v>
      </c>
      <c r="B15" s="101">
        <f t="shared" ref="B15:B19" si="7">C15/($T15/$C15)^(1/17)</f>
        <v>0.21060991486873745</v>
      </c>
      <c r="C15" s="107">
        <v>0.21044997742066698</v>
      </c>
      <c r="D15" s="101">
        <f t="shared" ref="D15:S15" si="8">C15*($T15/$C15)^(1/17)</f>
        <v>0.21029016142930623</v>
      </c>
      <c r="E15" s="101">
        <f t="shared" si="8"/>
        <v>0.21013046680242081</v>
      </c>
      <c r="F15" s="101">
        <f t="shared" si="8"/>
        <v>0.20997089344784639</v>
      </c>
      <c r="G15" s="101">
        <f t="shared" si="8"/>
        <v>0.20981144127348861</v>
      </c>
      <c r="H15" s="101">
        <f t="shared" si="8"/>
        <v>0.20965211018732305</v>
      </c>
      <c r="I15" s="101">
        <f t="shared" si="8"/>
        <v>0.20949290009739518</v>
      </c>
      <c r="J15" s="101">
        <f t="shared" si="8"/>
        <v>0.20933381091182032</v>
      </c>
      <c r="K15" s="101">
        <f t="shared" si="8"/>
        <v>0.20917484253878352</v>
      </c>
      <c r="L15" s="101">
        <f t="shared" si="8"/>
        <v>0.20901599488653957</v>
      </c>
      <c r="M15" s="101">
        <f t="shared" si="8"/>
        <v>0.20885726786341297</v>
      </c>
      <c r="N15" s="101">
        <f t="shared" si="8"/>
        <v>0.20869866137779777</v>
      </c>
      <c r="O15" s="101">
        <f t="shared" si="8"/>
        <v>0.20854017533815766</v>
      </c>
      <c r="P15" s="101">
        <f t="shared" si="8"/>
        <v>0.20838180965302577</v>
      </c>
      <c r="Q15" s="101">
        <f t="shared" si="8"/>
        <v>0.20822356423100477</v>
      </c>
      <c r="R15" s="101">
        <f t="shared" si="8"/>
        <v>0.20806543898076665</v>
      </c>
      <c r="S15" s="101">
        <f t="shared" si="8"/>
        <v>0.20790743381105284</v>
      </c>
      <c r="T15" s="107">
        <v>0.20774954863067402</v>
      </c>
      <c r="U15" s="101">
        <v>0.20774954863067402</v>
      </c>
      <c r="V15" s="101">
        <v>0.20774954863067402</v>
      </c>
      <c r="W15" s="101">
        <v>0.20774954863067402</v>
      </c>
      <c r="X15" s="101">
        <v>0.20774954863067402</v>
      </c>
      <c r="Y15" s="101">
        <v>0.20774954863067402</v>
      </c>
      <c r="Z15" s="101">
        <v>0.20774954863067402</v>
      </c>
      <c r="AA15" s="101">
        <v>0.20774954863067402</v>
      </c>
      <c r="AB15" s="101">
        <v>0.20774954863067402</v>
      </c>
      <c r="AC15" s="101">
        <v>0.20774954863067402</v>
      </c>
      <c r="AD15" s="101">
        <v>0.20774954863067402</v>
      </c>
      <c r="AE15" s="101">
        <v>0.20774954863067402</v>
      </c>
      <c r="AF15" s="101">
        <v>0.20774954863067402</v>
      </c>
    </row>
    <row r="16" spans="1:32">
      <c r="A16" s="73" t="s">
        <v>52</v>
      </c>
      <c r="B16" s="101">
        <f t="shared" si="7"/>
        <v>22.128903927938186</v>
      </c>
      <c r="C16" s="107">
        <v>22.163439356360449</v>
      </c>
      <c r="D16" s="101">
        <f t="shared" ref="D16:S16" si="9">C16*($T16/$C16)^(1/17)</f>
        <v>22.198028682428081</v>
      </c>
      <c r="E16" s="101">
        <f t="shared" si="9"/>
        <v>22.232671990256332</v>
      </c>
      <c r="F16" s="101">
        <f t="shared" si="9"/>
        <v>22.267369364091724</v>
      </c>
      <c r="G16" s="101">
        <f t="shared" si="9"/>
        <v>22.30212088831226</v>
      </c>
      <c r="H16" s="101">
        <f t="shared" si="9"/>
        <v>22.336926647427628</v>
      </c>
      <c r="I16" s="101">
        <f t="shared" si="9"/>
        <v>22.371786726079407</v>
      </c>
      <c r="J16" s="101">
        <f t="shared" si="9"/>
        <v>22.406701209041266</v>
      </c>
      <c r="K16" s="101">
        <f t="shared" si="9"/>
        <v>22.441670181219184</v>
      </c>
      <c r="L16" s="101">
        <f t="shared" si="9"/>
        <v>22.476693727651639</v>
      </c>
      <c r="M16" s="101">
        <f t="shared" si="9"/>
        <v>22.511771933509834</v>
      </c>
      <c r="N16" s="101">
        <f t="shared" si="9"/>
        <v>22.546904884097888</v>
      </c>
      <c r="O16" s="101">
        <f t="shared" si="9"/>
        <v>22.58209266485305</v>
      </c>
      <c r="P16" s="101">
        <f t="shared" si="9"/>
        <v>22.617335361345908</v>
      </c>
      <c r="Q16" s="101">
        <f t="shared" si="9"/>
        <v>22.652633059280596</v>
      </c>
      <c r="R16" s="101">
        <f t="shared" si="9"/>
        <v>22.687985844495</v>
      </c>
      <c r="S16" s="101">
        <f t="shared" si="9"/>
        <v>22.72339380296097</v>
      </c>
      <c r="T16" s="107">
        <v>22.75885702078455</v>
      </c>
      <c r="U16" s="101">
        <v>22.75885702078455</v>
      </c>
      <c r="V16" s="101">
        <v>22.75885702078455</v>
      </c>
      <c r="W16" s="101">
        <v>22.75885702078455</v>
      </c>
      <c r="X16" s="101">
        <v>22.75885702078455</v>
      </c>
      <c r="Y16" s="101">
        <v>22.75885702078455</v>
      </c>
      <c r="Z16" s="101">
        <v>22.75885702078455</v>
      </c>
      <c r="AA16" s="101">
        <v>22.75885702078455</v>
      </c>
      <c r="AB16" s="101">
        <v>22.75885702078455</v>
      </c>
      <c r="AC16" s="101">
        <v>22.75885702078455</v>
      </c>
      <c r="AD16" s="101">
        <v>22.75885702078455</v>
      </c>
      <c r="AE16" s="101">
        <v>22.75885702078455</v>
      </c>
      <c r="AF16" s="101">
        <v>22.75885702078455</v>
      </c>
    </row>
    <row r="17" spans="1:32">
      <c r="A17" s="73" t="s">
        <v>53</v>
      </c>
      <c r="B17" s="101">
        <f t="shared" si="7"/>
        <v>0.10845874138976884</v>
      </c>
      <c r="C17" s="107">
        <v>0.10726272960531601</v>
      </c>
      <c r="D17" s="101">
        <f t="shared" ref="D17:S17" si="10">C17*($T17/$C17)^(1/17)</f>
        <v>0.10607990665350332</v>
      </c>
      <c r="E17" s="101">
        <f t="shared" si="10"/>
        <v>0.1049101270965444</v>
      </c>
      <c r="F17" s="101">
        <f t="shared" si="10"/>
        <v>0.10375324710044528</v>
      </c>
      <c r="G17" s="101">
        <f t="shared" si="10"/>
        <v>0.10260912441731884</v>
      </c>
      <c r="H17" s="101">
        <f t="shared" si="10"/>
        <v>0.10147761836789426</v>
      </c>
      <c r="I17" s="101">
        <f t="shared" si="10"/>
        <v>0.10035858982421933</v>
      </c>
      <c r="J17" s="101">
        <f t="shared" si="10"/>
        <v>9.925190119255356E-2</v>
      </c>
      <c r="K17" s="101">
        <f t="shared" si="10"/>
        <v>9.8157416396449884E-2</v>
      </c>
      <c r="L17" s="101">
        <f t="shared" si="10"/>
        <v>9.7075000860022936E-2</v>
      </c>
      <c r="M17" s="101">
        <f t="shared" si="10"/>
        <v>9.6004521491401859E-2</v>
      </c>
      <c r="N17" s="101">
        <f t="shared" si="10"/>
        <v>9.4945846666365546E-2</v>
      </c>
      <c r="O17" s="101">
        <f t="shared" si="10"/>
        <v>9.3898846212158382E-2</v>
      </c>
      <c r="P17" s="101">
        <f t="shared" si="10"/>
        <v>9.2863391391484432E-2</v>
      </c>
      <c r="Q17" s="101">
        <f t="shared" si="10"/>
        <v>9.1839354886678118E-2</v>
      </c>
      <c r="R17" s="101">
        <f t="shared" si="10"/>
        <v>9.082661078404948E-2</v>
      </c>
      <c r="S17" s="101">
        <f t="shared" si="10"/>
        <v>8.9825034558402059E-2</v>
      </c>
      <c r="T17" s="107">
        <v>8.8834503057721503E-2</v>
      </c>
      <c r="U17" s="101">
        <v>8.8834503057721503E-2</v>
      </c>
      <c r="V17" s="101">
        <v>8.8834503057721503E-2</v>
      </c>
      <c r="W17" s="101">
        <v>8.8834503057721503E-2</v>
      </c>
      <c r="X17" s="101">
        <v>8.8834503057721503E-2</v>
      </c>
      <c r="Y17" s="101">
        <v>8.8834503057721503E-2</v>
      </c>
      <c r="Z17" s="101">
        <v>8.8834503057721503E-2</v>
      </c>
      <c r="AA17" s="101">
        <v>8.8834503057721503E-2</v>
      </c>
      <c r="AB17" s="101">
        <v>8.8834503057721503E-2</v>
      </c>
      <c r="AC17" s="101">
        <v>8.8834503057721503E-2</v>
      </c>
      <c r="AD17" s="101">
        <v>8.8834503057721503E-2</v>
      </c>
      <c r="AE17" s="101">
        <v>8.8834503057721503E-2</v>
      </c>
      <c r="AF17" s="101">
        <v>8.8834503057721503E-2</v>
      </c>
    </row>
    <row r="18" spans="1:32">
      <c r="A18" s="73" t="s">
        <v>54</v>
      </c>
      <c r="B18" s="100">
        <f t="shared" si="7"/>
        <v>11480.147520137099</v>
      </c>
      <c r="C18" s="108">
        <v>11353.551991317549</v>
      </c>
      <c r="D18" s="100">
        <f t="shared" ref="D18:S18" si="11">C18*($T18/$C18)^(1/17)</f>
        <v>11228.352474865347</v>
      </c>
      <c r="E18" s="100">
        <f t="shared" si="11"/>
        <v>11104.53357647275</v>
      </c>
      <c r="F18" s="100">
        <f t="shared" si="11"/>
        <v>10982.080071590328</v>
      </c>
      <c r="G18" s="100">
        <f t="shared" si="11"/>
        <v>10860.976903554991</v>
      </c>
      <c r="H18" s="100">
        <f t="shared" si="11"/>
        <v>10741.209181738639</v>
      </c>
      <c r="I18" s="100">
        <f t="shared" si="11"/>
        <v>10622.762179717241</v>
      </c>
      <c r="J18" s="100">
        <f t="shared" si="11"/>
        <v>10505.621333460105</v>
      </c>
      <c r="K18" s="100">
        <f t="shared" si="11"/>
        <v>10389.772239539103</v>
      </c>
      <c r="L18" s="100">
        <f t="shared" si="11"/>
        <v>10275.200653357653</v>
      </c>
      <c r="M18" s="100">
        <f t="shared" si="11"/>
        <v>10161.892487399236</v>
      </c>
      <c r="N18" s="100">
        <f t="shared" si="11"/>
        <v>10049.833809495212</v>
      </c>
      <c r="O18" s="100">
        <f t="shared" si="11"/>
        <v>9939.010841111749</v>
      </c>
      <c r="P18" s="100">
        <f t="shared" si="11"/>
        <v>9829.4099556556394</v>
      </c>
      <c r="Q18" s="100">
        <f t="shared" si="11"/>
        <v>9721.0176767987978</v>
      </c>
      <c r="R18" s="100">
        <f t="shared" si="11"/>
        <v>9613.8206768212367</v>
      </c>
      <c r="S18" s="100">
        <f t="shared" si="11"/>
        <v>9507.8057749723121</v>
      </c>
      <c r="T18" s="108">
        <v>9402.9599358500509</v>
      </c>
      <c r="U18" s="100">
        <v>9402.9599358500509</v>
      </c>
      <c r="V18" s="100">
        <v>9402.9599358500509</v>
      </c>
      <c r="W18" s="100">
        <v>9402.9599358500509</v>
      </c>
      <c r="X18" s="100">
        <v>9402.9599358500509</v>
      </c>
      <c r="Y18" s="100">
        <v>9402.9599358500509</v>
      </c>
      <c r="Z18" s="100">
        <v>9402.9599358500509</v>
      </c>
      <c r="AA18" s="100">
        <v>9402.9599358500509</v>
      </c>
      <c r="AB18" s="100">
        <v>9402.9599358500509</v>
      </c>
      <c r="AC18" s="100">
        <v>9402.9599358500509</v>
      </c>
      <c r="AD18" s="100">
        <v>9402.9599358500509</v>
      </c>
      <c r="AE18" s="100">
        <v>9402.9599358500509</v>
      </c>
      <c r="AF18" s="100">
        <v>9402.9599358500509</v>
      </c>
    </row>
    <row r="19" spans="1:32">
      <c r="A19" s="73" t="s">
        <v>55</v>
      </c>
      <c r="B19" s="101">
        <f t="shared" si="7"/>
        <v>1.2730436166215324E-2</v>
      </c>
      <c r="C19" s="107">
        <v>1.2698880583778448E-2</v>
      </c>
      <c r="D19" s="101">
        <f t="shared" ref="D19:S19" si="12">C19*($T19/$C19)^(1/17)</f>
        <v>1.2667403219775719E-2</v>
      </c>
      <c r="E19" s="101">
        <f t="shared" si="12"/>
        <v>1.2636003880323109E-2</v>
      </c>
      <c r="F19" s="101">
        <f t="shared" si="12"/>
        <v>1.260468237201718E-2</v>
      </c>
      <c r="G19" s="101">
        <f t="shared" si="12"/>
        <v>1.2573438501933893E-2</v>
      </c>
      <c r="H19" s="101">
        <f t="shared" si="12"/>
        <v>1.2542272077627419E-2</v>
      </c>
      <c r="I19" s="101">
        <f t="shared" si="12"/>
        <v>1.2511182907128953E-2</v>
      </c>
      <c r="J19" s="101">
        <f t="shared" si="12"/>
        <v>1.2480170798945537E-2</v>
      </c>
      <c r="K19" s="101">
        <f t="shared" si="12"/>
        <v>1.2449235562058875E-2</v>
      </c>
      <c r="L19" s="101">
        <f t="shared" si="12"/>
        <v>1.2418377005924155E-2</v>
      </c>
      <c r="M19" s="101">
        <f t="shared" si="12"/>
        <v>1.238759494046888E-2</v>
      </c>
      <c r="N19" s="101">
        <f t="shared" si="12"/>
        <v>1.2356889176091696E-2</v>
      </c>
      <c r="O19" s="101">
        <f t="shared" si="12"/>
        <v>1.2326259523661223E-2</v>
      </c>
      <c r="P19" s="101">
        <f t="shared" si="12"/>
        <v>1.229570579451489E-2</v>
      </c>
      <c r="Q19" s="101">
        <f t="shared" si="12"/>
        <v>1.2265227800457777E-2</v>
      </c>
      <c r="R19" s="101">
        <f t="shared" si="12"/>
        <v>1.2234825353761445E-2</v>
      </c>
      <c r="S19" s="101">
        <f t="shared" si="12"/>
        <v>1.2204498267162795E-2</v>
      </c>
      <c r="T19" s="107">
        <v>1.21742463538629E-2</v>
      </c>
      <c r="U19" s="101">
        <v>1.21742463538629E-2</v>
      </c>
      <c r="V19" s="101">
        <v>1.21742463538629E-2</v>
      </c>
      <c r="W19" s="101">
        <v>1.21742463538629E-2</v>
      </c>
      <c r="X19" s="101">
        <v>1.21742463538629E-2</v>
      </c>
      <c r="Y19" s="101">
        <v>1.21742463538629E-2</v>
      </c>
      <c r="Z19" s="101">
        <v>1.21742463538629E-2</v>
      </c>
      <c r="AA19" s="101">
        <v>1.21742463538629E-2</v>
      </c>
      <c r="AB19" s="101">
        <v>1.21742463538629E-2</v>
      </c>
      <c r="AC19" s="101">
        <v>1.21742463538629E-2</v>
      </c>
      <c r="AD19" s="101">
        <v>1.21742463538629E-2</v>
      </c>
      <c r="AE19" s="101">
        <v>1.21742463538629E-2</v>
      </c>
      <c r="AF19" s="101">
        <v>1.21742463538629E-2</v>
      </c>
    </row>
    <row r="20" spans="1:32">
      <c r="A20" s="8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</row>
    <row r="21" spans="1:32">
      <c r="A21" s="68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</row>
    <row r="22" spans="1:32">
      <c r="A22" s="73" t="s">
        <v>51</v>
      </c>
      <c r="B22" s="101">
        <f t="shared" ref="B22:B26" si="13">C22/($T22/$C22)^(1/17)</f>
        <v>0.23865475922001314</v>
      </c>
      <c r="C22" s="107">
        <v>0.22127568214669652</v>
      </c>
      <c r="D22" s="101">
        <f>C22*($T22/$C22)^(1/17)</f>
        <v>0.20516216676134874</v>
      </c>
      <c r="E22" s="101">
        <f t="shared" ref="E22:S22" si="14">D22*($T22/$C22)^(1/17)</f>
        <v>0.19022205360237715</v>
      </c>
      <c r="F22" s="101">
        <f t="shared" si="14"/>
        <v>0.17636989435189843</v>
      </c>
      <c r="G22" s="101">
        <f t="shared" si="14"/>
        <v>0.16352646312357488</v>
      </c>
      <c r="H22" s="101">
        <f t="shared" si="14"/>
        <v>0.15161830333895679</v>
      </c>
      <c r="I22" s="101">
        <f t="shared" si="14"/>
        <v>0.14057730760074039</v>
      </c>
      <c r="J22" s="101">
        <f t="shared" si="14"/>
        <v>0.1303403281600734</v>
      </c>
      <c r="K22" s="101">
        <f t="shared" si="14"/>
        <v>0.12084881575001902</v>
      </c>
      <c r="L22" s="101">
        <f t="shared" si="14"/>
        <v>0.11204848471952643</v>
      </c>
      <c r="M22" s="101">
        <f t="shared" si="14"/>
        <v>0.1038890025526789</v>
      </c>
      <c r="N22" s="101">
        <f t="shared" si="14"/>
        <v>9.6323701997459182E-2</v>
      </c>
      <c r="O22" s="101">
        <f t="shared" si="14"/>
        <v>8.9309314157584724E-2</v>
      </c>
      <c r="P22" s="101">
        <f t="shared" si="14"/>
        <v>8.2805721020861076E-2</v>
      </c>
      <c r="Q22" s="101">
        <f t="shared" si="14"/>
        <v>7.677572600866682E-2</v>
      </c>
      <c r="R22" s="101">
        <f t="shared" si="14"/>
        <v>7.1184841234253449E-2</v>
      </c>
      <c r="S22" s="101">
        <f t="shared" si="14"/>
        <v>6.6001090253107478E-2</v>
      </c>
      <c r="T22" s="107">
        <v>6.1194825177227498E-2</v>
      </c>
      <c r="U22" s="101">
        <v>6.5310466098621248E-2</v>
      </c>
      <c r="V22" s="101">
        <v>6.5310466098621248E-2</v>
      </c>
      <c r="W22" s="101">
        <v>6.5310466098621248E-2</v>
      </c>
      <c r="X22" s="101">
        <v>6.5310466098621248E-2</v>
      </c>
      <c r="Y22" s="101">
        <v>6.5310466098621248E-2</v>
      </c>
      <c r="Z22" s="101">
        <v>6.5310466098621248E-2</v>
      </c>
      <c r="AA22" s="101">
        <v>6.5310466098621248E-2</v>
      </c>
      <c r="AB22" s="101">
        <v>6.5310466098621248E-2</v>
      </c>
      <c r="AC22" s="101">
        <v>6.5310466098621248E-2</v>
      </c>
      <c r="AD22" s="101">
        <v>6.5310466098621248E-2</v>
      </c>
      <c r="AE22" s="101">
        <v>6.5310466098621248E-2</v>
      </c>
      <c r="AF22" s="101">
        <v>6.5310466098621248E-2</v>
      </c>
    </row>
    <row r="23" spans="1:32">
      <c r="A23" s="73" t="s">
        <v>52</v>
      </c>
      <c r="B23" s="101">
        <f t="shared" si="13"/>
        <v>0.28239353145879559</v>
      </c>
      <c r="C23" s="107">
        <v>0.27347431131358851</v>
      </c>
      <c r="D23" s="101">
        <f t="shared" ref="D23:S23" si="15">C23*($T23/$C23)^(1/17)</f>
        <v>0.26483679906582414</v>
      </c>
      <c r="E23" s="101">
        <f t="shared" si="15"/>
        <v>0.25647209715067171</v>
      </c>
      <c r="F23" s="101">
        <f t="shared" si="15"/>
        <v>0.24837158902722856</v>
      </c>
      <c r="G23" s="101">
        <f t="shared" si="15"/>
        <v>0.24052693030255809</v>
      </c>
      <c r="H23" s="101">
        <f t="shared" si="15"/>
        <v>0.23293004013606922</v>
      </c>
      <c r="I23" s="101">
        <f t="shared" si="15"/>
        <v>0.22557309291538313</v>
      </c>
      <c r="J23" s="101">
        <f t="shared" si="15"/>
        <v>0.21844851019511247</v>
      </c>
      <c r="K23" s="101">
        <f t="shared" si="15"/>
        <v>0.21154895289024903</v>
      </c>
      <c r="L23" s="101">
        <f t="shared" si="15"/>
        <v>0.20486731371611844</v>
      </c>
      <c r="M23" s="101">
        <f t="shared" si="15"/>
        <v>0.19839670986711394</v>
      </c>
      <c r="N23" s="101">
        <f t="shared" si="15"/>
        <v>0.19213047592666777</v>
      </c>
      <c r="O23" s="101">
        <f t="shared" si="15"/>
        <v>0.18606215700115655</v>
      </c>
      <c r="P23" s="101">
        <f t="shared" si="15"/>
        <v>0.18018550207066805</v>
      </c>
      <c r="Q23" s="101">
        <f t="shared" si="15"/>
        <v>0.17449445754977949</v>
      </c>
      <c r="R23" s="101">
        <f t="shared" si="15"/>
        <v>0.16898316105171485</v>
      </c>
      <c r="S23" s="101">
        <f t="shared" si="15"/>
        <v>0.16364593534945707</v>
      </c>
      <c r="T23" s="107">
        <v>0.15847728252759499</v>
      </c>
      <c r="U23" s="101">
        <v>0.48268041663966255</v>
      </c>
      <c r="V23" s="101">
        <v>0.48268041663966255</v>
      </c>
      <c r="W23" s="101">
        <v>0.48268041663966255</v>
      </c>
      <c r="X23" s="101">
        <v>0.48268041663966255</v>
      </c>
      <c r="Y23" s="101">
        <v>0.48268041663966255</v>
      </c>
      <c r="Z23" s="101">
        <v>0.48268041663966255</v>
      </c>
      <c r="AA23" s="101">
        <v>0.48268041663966255</v>
      </c>
      <c r="AB23" s="101">
        <v>0.48268041663966255</v>
      </c>
      <c r="AC23" s="101">
        <v>0.48268041663966255</v>
      </c>
      <c r="AD23" s="101">
        <v>0.48268041663966255</v>
      </c>
      <c r="AE23" s="101">
        <v>0.48268041663966255</v>
      </c>
      <c r="AF23" s="101">
        <v>0.48268041663966255</v>
      </c>
    </row>
    <row r="24" spans="1:32">
      <c r="A24" s="73" t="s">
        <v>53</v>
      </c>
      <c r="B24" s="101">
        <f t="shared" si="13"/>
        <v>2.9069609646142049E-2</v>
      </c>
      <c r="C24" s="107">
        <v>2.8690268010278151E-2</v>
      </c>
      <c r="D24" s="101">
        <f t="shared" ref="D24:S24" si="16">C24*($T24/$C24)^(1/17)</f>
        <v>2.8315876563923214E-2</v>
      </c>
      <c r="E24" s="101">
        <f t="shared" si="16"/>
        <v>2.7946370709959867E-2</v>
      </c>
      <c r="F24" s="101">
        <f t="shared" si="16"/>
        <v>2.7581686694225858E-2</v>
      </c>
      <c r="G24" s="101">
        <f t="shared" si="16"/>
        <v>2.7221761594513977E-2</v>
      </c>
      <c r="H24" s="101">
        <f t="shared" si="16"/>
        <v>2.6866533309715512E-2</v>
      </c>
      <c r="I24" s="101">
        <f t="shared" si="16"/>
        <v>2.6515940549105395E-2</v>
      </c>
      <c r="J24" s="101">
        <f t="shared" si="16"/>
        <v>2.6169922821767166E-2</v>
      </c>
      <c r="K24" s="101">
        <f t="shared" si="16"/>
        <v>2.5828420426155928E-2</v>
      </c>
      <c r="L24" s="101">
        <f t="shared" si="16"/>
        <v>2.5491374439797498E-2</v>
      </c>
      <c r="M24" s="101">
        <f t="shared" si="16"/>
        <v>2.5158726709121993E-2</v>
      </c>
      <c r="N24" s="101">
        <f t="shared" si="16"/>
        <v>2.4830419839430067E-2</v>
      </c>
      <c r="O24" s="101">
        <f t="shared" si="16"/>
        <v>2.4506397184990095E-2</v>
      </c>
      <c r="P24" s="101">
        <f t="shared" si="16"/>
        <v>2.4186602839264566E-2</v>
      </c>
      <c r="Q24" s="101">
        <f t="shared" si="16"/>
        <v>2.3870981625264031E-2</v>
      </c>
      <c r="R24" s="101">
        <f t="shared" si="16"/>
        <v>2.3559479086026926E-2</v>
      </c>
      <c r="S24" s="101">
        <f t="shared" si="16"/>
        <v>2.3252041475223618E-2</v>
      </c>
      <c r="T24" s="107">
        <v>2.2948615747883053E-2</v>
      </c>
      <c r="U24" s="101">
        <v>5.4138834425726749E-2</v>
      </c>
      <c r="V24" s="101">
        <v>5.4138834425726749E-2</v>
      </c>
      <c r="W24" s="101">
        <v>5.4138834425726749E-2</v>
      </c>
      <c r="X24" s="101">
        <v>5.4138834425726749E-2</v>
      </c>
      <c r="Y24" s="101">
        <v>5.4138834425726749E-2</v>
      </c>
      <c r="Z24" s="101">
        <v>5.4138834425726749E-2</v>
      </c>
      <c r="AA24" s="101">
        <v>5.4138834425726749E-2</v>
      </c>
      <c r="AB24" s="101">
        <v>5.4138834425726749E-2</v>
      </c>
      <c r="AC24" s="101">
        <v>5.4138834425726749E-2</v>
      </c>
      <c r="AD24" s="101">
        <v>5.4138834425726749E-2</v>
      </c>
      <c r="AE24" s="101">
        <v>5.4138834425726749E-2</v>
      </c>
      <c r="AF24" s="101">
        <v>5.4138834425726749E-2</v>
      </c>
    </row>
    <row r="25" spans="1:32">
      <c r="A25" s="73" t="s">
        <v>54</v>
      </c>
      <c r="B25" s="100">
        <f t="shared" si="13"/>
        <v>2937.5672854702266</v>
      </c>
      <c r="C25" s="108">
        <v>2899.2337270531998</v>
      </c>
      <c r="D25" s="100">
        <f t="shared" ref="D25:S25" si="17">C25*($T25/$C25)^(1/17)</f>
        <v>2861.4003994592013</v>
      </c>
      <c r="E25" s="100">
        <f t="shared" si="17"/>
        <v>2824.0607749645692</v>
      </c>
      <c r="F25" s="100">
        <f t="shared" si="17"/>
        <v>2787.2084110286705</v>
      </c>
      <c r="G25" s="100">
        <f t="shared" si="17"/>
        <v>2750.8369491823105</v>
      </c>
      <c r="H25" s="100">
        <f t="shared" si="17"/>
        <v>2714.9401139306487</v>
      </c>
      <c r="I25" s="100">
        <f t="shared" si="17"/>
        <v>2679.5117116704328</v>
      </c>
      <c r="J25" s="100">
        <f t="shared" si="17"/>
        <v>2644.5456296213592</v>
      </c>
      <c r="K25" s="100">
        <f t="shared" si="17"/>
        <v>2610.0358347713814</v>
      </c>
      <c r="L25" s="100">
        <f t="shared" si="17"/>
        <v>2575.9763728357793</v>
      </c>
      <c r="M25" s="100">
        <f t="shared" si="17"/>
        <v>2542.3613672298143</v>
      </c>
      <c r="N25" s="100">
        <f t="shared" si="17"/>
        <v>2509.1850180547872</v>
      </c>
      <c r="O25" s="100">
        <f t="shared" si="17"/>
        <v>2476.4416010973318</v>
      </c>
      <c r="P25" s="100">
        <f t="shared" si="17"/>
        <v>2444.1254668417637</v>
      </c>
      <c r="Q25" s="100">
        <f t="shared" si="17"/>
        <v>2412.2310394953192</v>
      </c>
      <c r="R25" s="100">
        <f t="shared" si="17"/>
        <v>2380.7528160261136</v>
      </c>
      <c r="S25" s="100">
        <f t="shared" si="17"/>
        <v>2349.6853652136533</v>
      </c>
      <c r="T25" s="108">
        <v>2319.0233267117401</v>
      </c>
      <c r="U25" s="100">
        <v>5470.8842264626246</v>
      </c>
      <c r="V25" s="100">
        <v>5470.8842264626246</v>
      </c>
      <c r="W25" s="100">
        <v>5470.8842264626246</v>
      </c>
      <c r="X25" s="100">
        <v>5470.8842264626246</v>
      </c>
      <c r="Y25" s="100">
        <v>5470.8842264626246</v>
      </c>
      <c r="Z25" s="100">
        <v>5470.8842264626246</v>
      </c>
      <c r="AA25" s="100">
        <v>5470.8842264626246</v>
      </c>
      <c r="AB25" s="100">
        <v>5470.8842264626246</v>
      </c>
      <c r="AC25" s="100">
        <v>5470.8842264626246</v>
      </c>
      <c r="AD25" s="100">
        <v>5470.8842264626246</v>
      </c>
      <c r="AE25" s="100">
        <v>5470.8842264626246</v>
      </c>
      <c r="AF25" s="100">
        <v>5470.8842264626246</v>
      </c>
    </row>
    <row r="26" spans="1:32">
      <c r="A26" s="73" t="s">
        <v>55</v>
      </c>
      <c r="B26" s="101">
        <f t="shared" si="13"/>
        <v>4.3020166642347965E-2</v>
      </c>
      <c r="C26" s="107">
        <v>4.0897755257605251E-2</v>
      </c>
      <c r="D26" s="101">
        <f t="shared" ref="D26:S26" si="18">C26*($T26/$C26)^(1/17)</f>
        <v>3.8880053604080811E-2</v>
      </c>
      <c r="E26" s="101">
        <f t="shared" si="18"/>
        <v>3.6961895799283329E-2</v>
      </c>
      <c r="F26" s="101">
        <f t="shared" si="18"/>
        <v>3.5138370820910737E-2</v>
      </c>
      <c r="G26" s="101">
        <f t="shared" si="18"/>
        <v>3.340480993325487E-2</v>
      </c>
      <c r="H26" s="101">
        <f t="shared" si="18"/>
        <v>3.1756774733927781E-2</v>
      </c>
      <c r="I26" s="101">
        <f t="shared" si="18"/>
        <v>3.0190045790306017E-2</v>
      </c>
      <c r="J26" s="101">
        <f t="shared" si="18"/>
        <v>2.8700611836598947E-2</v>
      </c>
      <c r="K26" s="101">
        <f t="shared" si="18"/>
        <v>2.7284659503882588E-2</v>
      </c>
      <c r="L26" s="101">
        <f t="shared" si="18"/>
        <v>2.5938563556804958E-2</v>
      </c>
      <c r="M26" s="101">
        <f t="shared" si="18"/>
        <v>2.4658877611966168E-2</v>
      </c>
      <c r="N26" s="101">
        <f t="shared" si="18"/>
        <v>2.3442325314209707E-2</v>
      </c>
      <c r="O26" s="101">
        <f t="shared" si="18"/>
        <v>2.2285791948233758E-2</v>
      </c>
      <c r="P26" s="101">
        <f t="shared" si="18"/>
        <v>2.1186316464045878E-2</v>
      </c>
      <c r="Q26" s="101">
        <f t="shared" si="18"/>
        <v>2.0141083895844028E-2</v>
      </c>
      <c r="R26" s="101">
        <f t="shared" si="18"/>
        <v>1.9147418154914105E-2</v>
      </c>
      <c r="S26" s="101">
        <f t="shared" si="18"/>
        <v>1.8202775178091806E-2</v>
      </c>
      <c r="T26" s="107">
        <v>1.730473641424695E-2</v>
      </c>
      <c r="U26" s="101">
        <v>1.8526869961329351E-2</v>
      </c>
      <c r="V26" s="101">
        <v>1.8526869961329351E-2</v>
      </c>
      <c r="W26" s="101">
        <v>1.8526869961329351E-2</v>
      </c>
      <c r="X26" s="101">
        <v>1.8526869961329351E-2</v>
      </c>
      <c r="Y26" s="101">
        <v>1.8526869961329351E-2</v>
      </c>
      <c r="Z26" s="101">
        <v>1.8526869961329351E-2</v>
      </c>
      <c r="AA26" s="101">
        <v>1.8526869961329351E-2</v>
      </c>
      <c r="AB26" s="101">
        <v>1.8526869961329351E-2</v>
      </c>
      <c r="AC26" s="101">
        <v>1.8526869961329351E-2</v>
      </c>
      <c r="AD26" s="101">
        <v>1.8526869961329351E-2</v>
      </c>
      <c r="AE26" s="101">
        <v>1.8526869961329351E-2</v>
      </c>
      <c r="AF26" s="101">
        <v>1.8526869961329351E-2</v>
      </c>
    </row>
    <row r="27" spans="1:32">
      <c r="A27" s="68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</row>
    <row r="28" spans="1:32">
      <c r="A28" s="73" t="s">
        <v>51</v>
      </c>
      <c r="B28" s="101">
        <f t="shared" ref="B28:B32" si="19">C28/($T28/$C28)^(1/17)</f>
        <v>0.21060991486873745</v>
      </c>
      <c r="C28" s="107">
        <v>0.21044997742066698</v>
      </c>
      <c r="D28" s="101">
        <f t="shared" ref="D28:S28" si="20">C28*($T28/$C28)^(1/17)</f>
        <v>0.21029016142930623</v>
      </c>
      <c r="E28" s="101">
        <f t="shared" si="20"/>
        <v>0.21013046680242081</v>
      </c>
      <c r="F28" s="101">
        <f t="shared" si="20"/>
        <v>0.20997089344784639</v>
      </c>
      <c r="G28" s="101">
        <f t="shared" si="20"/>
        <v>0.20981144127348861</v>
      </c>
      <c r="H28" s="101">
        <f t="shared" si="20"/>
        <v>0.20965211018732305</v>
      </c>
      <c r="I28" s="101">
        <f t="shared" si="20"/>
        <v>0.20949290009739518</v>
      </c>
      <c r="J28" s="101">
        <f t="shared" si="20"/>
        <v>0.20933381091182032</v>
      </c>
      <c r="K28" s="101">
        <f t="shared" si="20"/>
        <v>0.20917484253878352</v>
      </c>
      <c r="L28" s="101">
        <f t="shared" si="20"/>
        <v>0.20901599488653957</v>
      </c>
      <c r="M28" s="101">
        <f t="shared" si="20"/>
        <v>0.20885726786341297</v>
      </c>
      <c r="N28" s="101">
        <f t="shared" si="20"/>
        <v>0.20869866137779777</v>
      </c>
      <c r="O28" s="101">
        <f t="shared" si="20"/>
        <v>0.20854017533815766</v>
      </c>
      <c r="P28" s="101">
        <f t="shared" si="20"/>
        <v>0.20838180965302577</v>
      </c>
      <c r="Q28" s="101">
        <f t="shared" si="20"/>
        <v>0.20822356423100477</v>
      </c>
      <c r="R28" s="101">
        <f t="shared" si="20"/>
        <v>0.20806543898076665</v>
      </c>
      <c r="S28" s="101">
        <f t="shared" si="20"/>
        <v>0.20790743381105284</v>
      </c>
      <c r="T28" s="107">
        <v>0.20774954863067402</v>
      </c>
      <c r="U28" s="101">
        <v>0.193313367426377</v>
      </c>
      <c r="V28" s="101">
        <v>0.193313367426377</v>
      </c>
      <c r="W28" s="101">
        <v>0.193313367426377</v>
      </c>
      <c r="X28" s="101">
        <v>0.193313367426377</v>
      </c>
      <c r="Y28" s="101">
        <v>0.193313367426377</v>
      </c>
      <c r="Z28" s="101">
        <v>0.193313367426377</v>
      </c>
      <c r="AA28" s="101">
        <v>0.193313367426377</v>
      </c>
      <c r="AB28" s="101">
        <v>0.193313367426377</v>
      </c>
      <c r="AC28" s="101">
        <v>0.193313367426377</v>
      </c>
      <c r="AD28" s="101">
        <v>0.193313367426377</v>
      </c>
      <c r="AE28" s="101">
        <v>0.193313367426377</v>
      </c>
      <c r="AF28" s="101">
        <v>0.193313367426377</v>
      </c>
    </row>
    <row r="29" spans="1:32">
      <c r="A29" s="73" t="s">
        <v>52</v>
      </c>
      <c r="B29" s="101">
        <f t="shared" si="19"/>
        <v>22.128903927938186</v>
      </c>
      <c r="C29" s="107">
        <v>22.163439356360449</v>
      </c>
      <c r="D29" s="101">
        <f t="shared" ref="D29:S32" si="21">C29*($T29/$C29)^(1/17)</f>
        <v>22.198028682428081</v>
      </c>
      <c r="E29" s="101">
        <f t="shared" si="21"/>
        <v>22.232671990256332</v>
      </c>
      <c r="F29" s="101">
        <f t="shared" si="21"/>
        <v>22.267369364091724</v>
      </c>
      <c r="G29" s="101">
        <f t="shared" si="21"/>
        <v>22.30212088831226</v>
      </c>
      <c r="H29" s="101">
        <f t="shared" si="21"/>
        <v>22.336926647427628</v>
      </c>
      <c r="I29" s="101">
        <f t="shared" si="21"/>
        <v>22.371786726079407</v>
      </c>
      <c r="J29" s="101">
        <f t="shared" si="21"/>
        <v>22.406701209041266</v>
      </c>
      <c r="K29" s="101">
        <f t="shared" si="21"/>
        <v>22.441670181219184</v>
      </c>
      <c r="L29" s="101">
        <f t="shared" si="21"/>
        <v>22.476693727651639</v>
      </c>
      <c r="M29" s="101">
        <f t="shared" si="21"/>
        <v>22.511771933509834</v>
      </c>
      <c r="N29" s="101">
        <f t="shared" si="21"/>
        <v>22.546904884097888</v>
      </c>
      <c r="O29" s="101">
        <f t="shared" si="21"/>
        <v>22.58209266485305</v>
      </c>
      <c r="P29" s="101">
        <f t="shared" si="21"/>
        <v>22.617335361345908</v>
      </c>
      <c r="Q29" s="101">
        <f t="shared" si="21"/>
        <v>22.652633059280596</v>
      </c>
      <c r="R29" s="101">
        <f t="shared" si="21"/>
        <v>22.687985844495</v>
      </c>
      <c r="S29" s="101">
        <f t="shared" si="21"/>
        <v>22.72339380296097</v>
      </c>
      <c r="T29" s="107">
        <v>22.75885702078455</v>
      </c>
      <c r="U29" s="101">
        <v>36.624670739010497</v>
      </c>
      <c r="V29" s="101">
        <v>36.624670739010497</v>
      </c>
      <c r="W29" s="101">
        <v>36.624670739010497</v>
      </c>
      <c r="X29" s="101">
        <v>36.624670739010497</v>
      </c>
      <c r="Y29" s="101">
        <v>36.624670739010497</v>
      </c>
      <c r="Z29" s="101">
        <v>36.624670739010497</v>
      </c>
      <c r="AA29" s="101">
        <v>36.624670739010497</v>
      </c>
      <c r="AB29" s="101">
        <v>36.624670739010497</v>
      </c>
      <c r="AC29" s="101">
        <v>36.624670739010497</v>
      </c>
      <c r="AD29" s="101">
        <v>36.624670739010497</v>
      </c>
      <c r="AE29" s="101">
        <v>36.624670739010497</v>
      </c>
      <c r="AF29" s="101">
        <v>36.624670739010497</v>
      </c>
    </row>
    <row r="30" spans="1:32">
      <c r="A30" s="73" t="s">
        <v>53</v>
      </c>
      <c r="B30" s="101">
        <f t="shared" si="19"/>
        <v>0.10845874138976884</v>
      </c>
      <c r="C30" s="107">
        <v>0.10726272960531601</v>
      </c>
      <c r="D30" s="101">
        <f t="shared" si="21"/>
        <v>0.10607990665350332</v>
      </c>
      <c r="E30" s="101">
        <f t="shared" si="21"/>
        <v>0.1049101270965444</v>
      </c>
      <c r="F30" s="101">
        <f t="shared" si="21"/>
        <v>0.10375324710044528</v>
      </c>
      <c r="G30" s="101">
        <f t="shared" si="21"/>
        <v>0.10260912441731884</v>
      </c>
      <c r="H30" s="101">
        <f t="shared" si="21"/>
        <v>0.10147761836789426</v>
      </c>
      <c r="I30" s="101">
        <f t="shared" si="21"/>
        <v>0.10035858982421933</v>
      </c>
      <c r="J30" s="101">
        <f t="shared" si="21"/>
        <v>9.925190119255356E-2</v>
      </c>
      <c r="K30" s="101">
        <f t="shared" si="21"/>
        <v>9.8157416396449884E-2</v>
      </c>
      <c r="L30" s="101">
        <f t="shared" si="21"/>
        <v>9.7075000860022936E-2</v>
      </c>
      <c r="M30" s="101">
        <f t="shared" si="21"/>
        <v>9.6004521491401859E-2</v>
      </c>
      <c r="N30" s="101">
        <f t="shared" si="21"/>
        <v>9.4945846666365546E-2</v>
      </c>
      <c r="O30" s="101">
        <f t="shared" si="21"/>
        <v>9.3898846212158382E-2</v>
      </c>
      <c r="P30" s="101">
        <f t="shared" si="21"/>
        <v>9.2863391391484432E-2</v>
      </c>
      <c r="Q30" s="101">
        <f t="shared" si="21"/>
        <v>9.1839354886678118E-2</v>
      </c>
      <c r="R30" s="101">
        <f t="shared" si="21"/>
        <v>9.082661078404948E-2</v>
      </c>
      <c r="S30" s="101">
        <f t="shared" si="21"/>
        <v>8.9825034558402059E-2</v>
      </c>
      <c r="T30" s="107">
        <v>8.8834503057721503E-2</v>
      </c>
      <c r="U30" s="101">
        <v>0.21536790274248224</v>
      </c>
      <c r="V30" s="101">
        <v>0.21536790274248224</v>
      </c>
      <c r="W30" s="101">
        <v>0.21536790274248224</v>
      </c>
      <c r="X30" s="101">
        <v>0.21536790274248224</v>
      </c>
      <c r="Y30" s="101">
        <v>0.21536790274248224</v>
      </c>
      <c r="Z30" s="101">
        <v>0.21536790274248224</v>
      </c>
      <c r="AA30" s="101">
        <v>0.21536790274248224</v>
      </c>
      <c r="AB30" s="101">
        <v>0.21536790274248224</v>
      </c>
      <c r="AC30" s="101">
        <v>0.21536790274248224</v>
      </c>
      <c r="AD30" s="101">
        <v>0.21536790274248224</v>
      </c>
      <c r="AE30" s="101">
        <v>0.21536790274248224</v>
      </c>
      <c r="AF30" s="101">
        <v>0.21536790274248224</v>
      </c>
    </row>
    <row r="31" spans="1:32">
      <c r="A31" s="73" t="s">
        <v>54</v>
      </c>
      <c r="B31" s="100">
        <f t="shared" si="19"/>
        <v>11480.147520137099</v>
      </c>
      <c r="C31" s="108">
        <v>11353.551991317549</v>
      </c>
      <c r="D31" s="100">
        <f t="shared" si="21"/>
        <v>11228.352474865347</v>
      </c>
      <c r="E31" s="100">
        <f t="shared" si="21"/>
        <v>11104.53357647275</v>
      </c>
      <c r="F31" s="100">
        <f t="shared" si="21"/>
        <v>10982.080071590328</v>
      </c>
      <c r="G31" s="100">
        <f t="shared" si="21"/>
        <v>10860.976903554991</v>
      </c>
      <c r="H31" s="100">
        <f t="shared" si="21"/>
        <v>10741.209181738639</v>
      </c>
      <c r="I31" s="100">
        <f t="shared" si="21"/>
        <v>10622.762179717241</v>
      </c>
      <c r="J31" s="100">
        <f t="shared" si="21"/>
        <v>10505.621333460105</v>
      </c>
      <c r="K31" s="100">
        <f t="shared" si="21"/>
        <v>10389.772239539103</v>
      </c>
      <c r="L31" s="100">
        <f t="shared" si="21"/>
        <v>10275.200653357653</v>
      </c>
      <c r="M31" s="100">
        <f t="shared" si="21"/>
        <v>10161.892487399236</v>
      </c>
      <c r="N31" s="100">
        <f t="shared" si="21"/>
        <v>10049.833809495212</v>
      </c>
      <c r="O31" s="100">
        <f t="shared" si="21"/>
        <v>9939.010841111749</v>
      </c>
      <c r="P31" s="100">
        <f t="shared" si="21"/>
        <v>9829.4099556556394</v>
      </c>
      <c r="Q31" s="100">
        <f t="shared" si="21"/>
        <v>9721.0176767987978</v>
      </c>
      <c r="R31" s="100">
        <f t="shared" si="21"/>
        <v>9613.8206768212367</v>
      </c>
      <c r="S31" s="100">
        <f t="shared" si="21"/>
        <v>9507.8057749723121</v>
      </c>
      <c r="T31" s="108">
        <v>9402.9599358500509</v>
      </c>
      <c r="U31" s="100">
        <v>22796.27499733715</v>
      </c>
      <c r="V31" s="100">
        <v>22796.27499733715</v>
      </c>
      <c r="W31" s="100">
        <v>22796.27499733715</v>
      </c>
      <c r="X31" s="100">
        <v>22796.27499733715</v>
      </c>
      <c r="Y31" s="100">
        <v>22796.27499733715</v>
      </c>
      <c r="Z31" s="100">
        <v>22796.27499733715</v>
      </c>
      <c r="AA31" s="100">
        <v>22796.27499733715</v>
      </c>
      <c r="AB31" s="100">
        <v>22796.27499733715</v>
      </c>
      <c r="AC31" s="100">
        <v>22796.27499733715</v>
      </c>
      <c r="AD31" s="100">
        <v>22796.27499733715</v>
      </c>
      <c r="AE31" s="100">
        <v>22796.27499733715</v>
      </c>
      <c r="AF31" s="100">
        <v>22796.27499733715</v>
      </c>
    </row>
    <row r="32" spans="1:32">
      <c r="A32" s="73" t="s">
        <v>55</v>
      </c>
      <c r="B32" s="101">
        <f t="shared" si="19"/>
        <v>1.2730436166215324E-2</v>
      </c>
      <c r="C32" s="107">
        <v>1.2698880583778448E-2</v>
      </c>
      <c r="D32" s="101">
        <f t="shared" si="21"/>
        <v>1.2667403219775719E-2</v>
      </c>
      <c r="E32" s="101">
        <f t="shared" si="21"/>
        <v>1.2636003880323109E-2</v>
      </c>
      <c r="F32" s="101">
        <f t="shared" si="21"/>
        <v>1.260468237201718E-2</v>
      </c>
      <c r="G32" s="101">
        <f t="shared" si="21"/>
        <v>1.2573438501933893E-2</v>
      </c>
      <c r="H32" s="101">
        <f t="shared" si="21"/>
        <v>1.2542272077627419E-2</v>
      </c>
      <c r="I32" s="101">
        <f t="shared" si="21"/>
        <v>1.2511182907128953E-2</v>
      </c>
      <c r="J32" s="101">
        <f t="shared" si="21"/>
        <v>1.2480170798945537E-2</v>
      </c>
      <c r="K32" s="101">
        <f t="shared" si="21"/>
        <v>1.2449235562058875E-2</v>
      </c>
      <c r="L32" s="101">
        <f t="shared" si="21"/>
        <v>1.2418377005924155E-2</v>
      </c>
      <c r="M32" s="101">
        <f t="shared" si="21"/>
        <v>1.238759494046888E-2</v>
      </c>
      <c r="N32" s="101">
        <f t="shared" si="21"/>
        <v>1.2356889176091696E-2</v>
      </c>
      <c r="O32" s="101">
        <f t="shared" si="21"/>
        <v>1.2326259523661223E-2</v>
      </c>
      <c r="P32" s="101">
        <f t="shared" si="21"/>
        <v>1.229570579451489E-2</v>
      </c>
      <c r="Q32" s="101">
        <f t="shared" si="21"/>
        <v>1.2265227800457777E-2</v>
      </c>
      <c r="R32" s="101">
        <f t="shared" si="21"/>
        <v>1.2234825353761445E-2</v>
      </c>
      <c r="S32" s="101">
        <f t="shared" si="21"/>
        <v>1.2204498267162795E-2</v>
      </c>
      <c r="T32" s="107">
        <v>1.21742463538629E-2</v>
      </c>
      <c r="U32" s="101">
        <v>3.4407613167032253E-2</v>
      </c>
      <c r="V32" s="101">
        <v>3.4407613167032253E-2</v>
      </c>
      <c r="W32" s="101">
        <v>3.4407613167032253E-2</v>
      </c>
      <c r="X32" s="101">
        <v>3.4407613167032253E-2</v>
      </c>
      <c r="Y32" s="101">
        <v>3.4407613167032253E-2</v>
      </c>
      <c r="Z32" s="101">
        <v>3.4407613167032253E-2</v>
      </c>
      <c r="AA32" s="101">
        <v>3.4407613167032253E-2</v>
      </c>
      <c r="AB32" s="101">
        <v>3.4407613167032253E-2</v>
      </c>
      <c r="AC32" s="101">
        <v>3.4407613167032253E-2</v>
      </c>
      <c r="AD32" s="101">
        <v>3.4407613167032253E-2</v>
      </c>
      <c r="AE32" s="101">
        <v>3.4407613167032253E-2</v>
      </c>
      <c r="AF32" s="101">
        <v>3.4407613167032253E-2</v>
      </c>
    </row>
    <row r="33" spans="1:32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</row>
    <row r="34" spans="1:32"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</row>
    <row r="35" spans="1:32">
      <c r="A35" t="s">
        <v>116</v>
      </c>
      <c r="C35" s="76"/>
      <c r="D35" s="76"/>
      <c r="E35" s="76"/>
      <c r="F35" s="76"/>
      <c r="G35" s="76"/>
      <c r="H35" s="76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</row>
    <row r="36" spans="1:32">
      <c r="A36" t="s">
        <v>112</v>
      </c>
      <c r="C36" s="76"/>
      <c r="D36" s="76"/>
      <c r="E36" s="76"/>
      <c r="F36" s="76"/>
      <c r="G36" s="76"/>
      <c r="H36" s="76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</row>
    <row r="37" spans="1:32">
      <c r="A37" s="68" t="s">
        <v>321</v>
      </c>
      <c r="B37" s="68"/>
      <c r="C37" s="76"/>
      <c r="D37" s="76"/>
      <c r="E37" s="76"/>
      <c r="F37" s="76"/>
      <c r="G37" s="76"/>
      <c r="H37" s="76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</row>
    <row r="38" spans="1:32">
      <c r="A38" s="102" t="s">
        <v>113</v>
      </c>
      <c r="B38" s="102"/>
      <c r="C38" s="76"/>
      <c r="D38" s="76"/>
      <c r="E38" s="76"/>
      <c r="F38" s="76"/>
      <c r="G38" s="76"/>
      <c r="H38" s="76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</row>
    <row r="39" spans="1:32">
      <c r="A39" s="68" t="s">
        <v>114</v>
      </c>
      <c r="B39" s="68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</row>
    <row r="40" spans="1:32">
      <c r="A40" s="103"/>
      <c r="B40" s="103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</row>
    <row r="41" spans="1:32">
      <c r="A41" s="98" t="s">
        <v>117</v>
      </c>
      <c r="B41" s="98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</row>
    <row r="42" spans="1:32">
      <c r="A42" s="68" t="s">
        <v>171</v>
      </c>
      <c r="B42" s="68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</row>
    <row r="43" spans="1:32">
      <c r="A43" s="73" t="s">
        <v>50</v>
      </c>
      <c r="B43" s="86">
        <f>'Benefits-Cost-calcs'!L24</f>
        <v>12787951.525181483</v>
      </c>
      <c r="C43" s="86">
        <f>'Benefits-Cost-calcs'!M24</f>
        <v>12948192.779210243</v>
      </c>
      <c r="D43" s="86">
        <f>'Benefits-Cost-calcs'!N24</f>
        <v>13110441.95917164</v>
      </c>
      <c r="E43" s="86">
        <f>'Benefits-Cost-calcs'!O24</f>
        <v>13274724.22566851</v>
      </c>
      <c r="F43" s="86">
        <f>'Benefits-Cost-calcs'!P24</f>
        <v>13441065.054582225</v>
      </c>
      <c r="G43" s="86">
        <f>'Benefits-Cost-calcs'!Q24</f>
        <v>13609490.241023323</v>
      </c>
      <c r="H43" s="86">
        <f>'Benefits-Cost-calcs'!R24</f>
        <v>13780025.90333166</v>
      </c>
      <c r="I43" s="86">
        <f>'Benefits-Cost-calcs'!S24</f>
        <v>13952698.487126688</v>
      </c>
      <c r="J43" s="86">
        <f>'Benefits-Cost-calcs'!T24</f>
        <v>14127534.769408468</v>
      </c>
      <c r="K43" s="86">
        <f>'Benefits-Cost-calcs'!U24</f>
        <v>14304561.86271009</v>
      </c>
      <c r="L43" s="86">
        <f>'Benefits-Cost-calcs'!V24</f>
        <v>14483807.219302112</v>
      </c>
      <c r="M43" s="86">
        <f>'Benefits-Cost-calcs'!W24</f>
        <v>14665298.635449691</v>
      </c>
      <c r="N43" s="86">
        <f>'Benefits-Cost-calcs'!X24</f>
        <v>14849064.255723057</v>
      </c>
      <c r="O43" s="86">
        <f>'Benefits-Cost-calcs'!Y24</f>
        <v>15035132.577362001</v>
      </c>
      <c r="P43" s="86">
        <f>'Benefits-Cost-calcs'!Z24</f>
        <v>15223532.454695048</v>
      </c>
      <c r="Q43" s="86">
        <f>'Benefits-Cost-calcs'!AA24</f>
        <v>15414293.10361401</v>
      </c>
      <c r="R43" s="86">
        <f>'Benefits-Cost-calcs'!AB24</f>
        <v>15607444.106104609</v>
      </c>
      <c r="S43" s="86">
        <f>'Benefits-Cost-calcs'!AC24</f>
        <v>15803015.41483386</v>
      </c>
      <c r="T43" s="86">
        <f>'Benefits-Cost-calcs'!AD24</f>
        <v>16001037.357795</v>
      </c>
      <c r="U43" s="86">
        <f>'Benefits-Cost-calcs'!AE24</f>
        <v>16001037.357795</v>
      </c>
      <c r="V43" s="86">
        <f>'Benefits-Cost-calcs'!AF24</f>
        <v>16001037.357795</v>
      </c>
      <c r="W43" s="86">
        <f>'Benefits-Cost-calcs'!AG24</f>
        <v>16001037.357795</v>
      </c>
      <c r="X43" s="86">
        <f>'Benefits-Cost-calcs'!AH24</f>
        <v>16001037.357795</v>
      </c>
      <c r="Y43" s="86">
        <f>'Benefits-Cost-calcs'!AI24</f>
        <v>16001037.357795</v>
      </c>
      <c r="Z43" s="86">
        <f>'Benefits-Cost-calcs'!AJ24</f>
        <v>16001037.357795</v>
      </c>
      <c r="AA43" s="86">
        <f>'Benefits-Cost-calcs'!AK24</f>
        <v>16001037.357795</v>
      </c>
      <c r="AB43" s="86">
        <f>'Benefits-Cost-calcs'!AL24</f>
        <v>16001037.357795</v>
      </c>
      <c r="AC43" s="86">
        <f>'Benefits-Cost-calcs'!AM24</f>
        <v>16001037.357795</v>
      </c>
      <c r="AD43" s="86">
        <f>'Benefits-Cost-calcs'!AN24</f>
        <v>16001037.357795</v>
      </c>
      <c r="AE43" s="86">
        <f>'Benefits-Cost-calcs'!AO24</f>
        <v>16001037.357795</v>
      </c>
      <c r="AF43" s="86" t="e">
        <f>'Benefits-Cost-calcs'!#REF!</f>
        <v>#REF!</v>
      </c>
    </row>
    <row r="44" spans="1:32">
      <c r="A44" s="73" t="s">
        <v>56</v>
      </c>
      <c r="B44" s="86">
        <f>'Benefits-Cost-calcs'!L25</f>
        <v>313304.81236694637</v>
      </c>
      <c r="C44" s="86">
        <f>'Benefits-Cost-calcs'!M25</f>
        <v>317230.72309065098</v>
      </c>
      <c r="D44" s="86">
        <f>'Benefits-Cost-calcs'!N25</f>
        <v>321205.82799970516</v>
      </c>
      <c r="E44" s="86">
        <f>'Benefits-Cost-calcs'!O25</f>
        <v>325230.74352887849</v>
      </c>
      <c r="F44" s="86">
        <f>'Benefits-Cost-calcs'!P25</f>
        <v>329306.09383726452</v>
      </c>
      <c r="G44" s="86">
        <f>'Benefits-Cost-calcs'!Q25</f>
        <v>333432.51090507145</v>
      </c>
      <c r="H44" s="86">
        <f>'Benefits-Cost-calcs'!R25</f>
        <v>337610.63463162567</v>
      </c>
      <c r="I44" s="86">
        <f>'Benefits-Cost-calcs'!S25</f>
        <v>341841.11293460388</v>
      </c>
      <c r="J44" s="86">
        <f>'Benefits-Cost-calcs'!T25</f>
        <v>346124.60185050749</v>
      </c>
      <c r="K44" s="86">
        <f>'Benefits-Cost-calcs'!U25</f>
        <v>350461.76563639723</v>
      </c>
      <c r="L44" s="86">
        <f>'Benefits-Cost-calcs'!V25</f>
        <v>354853.27687290177</v>
      </c>
      <c r="M44" s="86">
        <f>'Benefits-Cost-calcs'!W25</f>
        <v>359299.81656851748</v>
      </c>
      <c r="N44" s="86">
        <f>'Benefits-Cost-calcs'!X25</f>
        <v>363802.07426521496</v>
      </c>
      <c r="O44" s="86">
        <f>'Benefits-Cost-calcs'!Y25</f>
        <v>368360.748145369</v>
      </c>
      <c r="P44" s="86">
        <f>'Benefits-Cost-calcs'!Z25</f>
        <v>372976.5451400287</v>
      </c>
      <c r="Q44" s="86">
        <f>'Benefits-Cost-calcs'!AA25</f>
        <v>377650.18103854323</v>
      </c>
      <c r="R44" s="86">
        <f>'Benefits-Cost-calcs'!AB25</f>
        <v>382382.38059956295</v>
      </c>
      <c r="S44" s="86">
        <f>'Benefits-Cost-calcs'!AC25</f>
        <v>387173.87766342959</v>
      </c>
      <c r="T44" s="86">
        <f>'Benefits-Cost-calcs'!AD25</f>
        <v>392025.41526597756</v>
      </c>
      <c r="U44" s="86">
        <f>'Benefits-Cost-calcs'!AE25</f>
        <v>392025.41526597756</v>
      </c>
      <c r="V44" s="86">
        <f>'Benefits-Cost-calcs'!AF25</f>
        <v>392025.41526597756</v>
      </c>
      <c r="W44" s="86">
        <f>'Benefits-Cost-calcs'!AG25</f>
        <v>392025.41526597756</v>
      </c>
      <c r="X44" s="86">
        <f>'Benefits-Cost-calcs'!AH25</f>
        <v>392025.41526597756</v>
      </c>
      <c r="Y44" s="86">
        <f>'Benefits-Cost-calcs'!AI25</f>
        <v>392025.41526597756</v>
      </c>
      <c r="Z44" s="86">
        <f>'Benefits-Cost-calcs'!AJ25</f>
        <v>392025.41526597756</v>
      </c>
      <c r="AA44" s="86">
        <f>'Benefits-Cost-calcs'!AK25</f>
        <v>392025.41526597756</v>
      </c>
      <c r="AB44" s="86">
        <f>'Benefits-Cost-calcs'!AL25</f>
        <v>392025.41526597756</v>
      </c>
      <c r="AC44" s="86">
        <f>'Benefits-Cost-calcs'!AM25</f>
        <v>392025.41526597756</v>
      </c>
      <c r="AD44" s="86">
        <f>'Benefits-Cost-calcs'!AN25</f>
        <v>392025.41526597756</v>
      </c>
      <c r="AE44" s="86">
        <f>'Benefits-Cost-calcs'!AO25</f>
        <v>392025.41526597756</v>
      </c>
      <c r="AF44" s="86" t="e">
        <f>'Benefits-Cost-calcs'!#REF!</f>
        <v>#REF!</v>
      </c>
    </row>
    <row r="45" spans="1:32">
      <c r="A45" s="68" t="s">
        <v>57</v>
      </c>
    </row>
    <row r="46" spans="1:32">
      <c r="A46" s="73" t="s">
        <v>50</v>
      </c>
      <c r="B46" s="86">
        <f>'Benefits-Cost-calcs'!L28</f>
        <v>6035980.8849458946</v>
      </c>
      <c r="C46" s="86">
        <f>'Benefits-Cost-calcs'!M28</f>
        <v>6296464.4867249997</v>
      </c>
      <c r="D46" s="86">
        <f>'Benefits-Cost-calcs'!N28</f>
        <v>6568189.2948778756</v>
      </c>
      <c r="E46" s="86">
        <f>'Benefits-Cost-calcs'!O28</f>
        <v>6851640.4252424287</v>
      </c>
      <c r="F46" s="86">
        <f>'Benefits-Cost-calcs'!P28</f>
        <v>7147323.9288985981</v>
      </c>
      <c r="G46" s="86">
        <f>'Benefits-Cost-calcs'!Q28</f>
        <v>7455767.6956316633</v>
      </c>
      <c r="H46" s="86">
        <f>'Benefits-Cost-calcs'!R28</f>
        <v>7777522.3963846369</v>
      </c>
      <c r="I46" s="86">
        <f>'Benefits-Cost-calcs'!S28</f>
        <v>8113162.466382321</v>
      </c>
      <c r="J46" s="86">
        <f>'Benefits-Cost-calcs'!T28</f>
        <v>8463287.1306822244</v>
      </c>
      <c r="K46" s="86">
        <f>'Benefits-Cost-calcs'!U28</f>
        <v>8828521.4739832655</v>
      </c>
      <c r="L46" s="86">
        <f>'Benefits-Cost-calcs'!V28</f>
        <v>9209517.5566022303</v>
      </c>
      <c r="M46" s="86">
        <f>'Benefits-Cost-calcs'!W28</f>
        <v>9606955.5786103401</v>
      </c>
      <c r="N46" s="86">
        <f>'Benefits-Cost-calcs'!X28</f>
        <v>10021545.094208304</v>
      </c>
      <c r="O46" s="86">
        <f>'Benefits-Cost-calcs'!Y28</f>
        <v>10454026.278507896</v>
      </c>
      <c r="P46" s="86">
        <f>'Benefits-Cost-calcs'!Z28</f>
        <v>10905171.248981664</v>
      </c>
      <c r="Q46" s="86">
        <f>'Benefits-Cost-calcs'!AA28</f>
        <v>11375785.443939995</v>
      </c>
      <c r="R46" s="86">
        <f>'Benefits-Cost-calcs'!AB28</f>
        <v>11866709.060496539</v>
      </c>
      <c r="S46" s="86">
        <f>'Benefits-Cost-calcs'!AC28</f>
        <v>12378818.554589244</v>
      </c>
      <c r="T46" s="86">
        <f>'Benefits-Cost-calcs'!AD28</f>
        <v>12913028.205735</v>
      </c>
      <c r="U46" s="86">
        <f>'Benefits-Cost-calcs'!AE28</f>
        <v>12913028.205735</v>
      </c>
      <c r="V46" s="86">
        <f>'Benefits-Cost-calcs'!AF28</f>
        <v>12913028.205735</v>
      </c>
      <c r="W46" s="86">
        <f>'Benefits-Cost-calcs'!AG28</f>
        <v>12913028.205735</v>
      </c>
      <c r="X46" s="86">
        <f>'Benefits-Cost-calcs'!AH28</f>
        <v>12913028.205735</v>
      </c>
      <c r="Y46" s="86">
        <f>'Benefits-Cost-calcs'!AI28</f>
        <v>12913028.205735</v>
      </c>
      <c r="Z46" s="86">
        <f>'Benefits-Cost-calcs'!AJ28</f>
        <v>12913028.205735</v>
      </c>
      <c r="AA46" s="86">
        <f>'Benefits-Cost-calcs'!AK28</f>
        <v>12913028.205735</v>
      </c>
      <c r="AB46" s="86">
        <f>'Benefits-Cost-calcs'!AL28</f>
        <v>12913028.205735</v>
      </c>
      <c r="AC46" s="86">
        <f>'Benefits-Cost-calcs'!AM28</f>
        <v>12913028.205735</v>
      </c>
      <c r="AD46" s="86">
        <f>'Benefits-Cost-calcs'!AN28</f>
        <v>12913028.205735</v>
      </c>
      <c r="AE46" s="86">
        <f>'Benefits-Cost-calcs'!AO28</f>
        <v>12913028.205735</v>
      </c>
      <c r="AF46" s="86" t="e">
        <f>'Benefits-Cost-calcs'!#REF!</f>
        <v>#REF!</v>
      </c>
    </row>
    <row r="47" spans="1:32">
      <c r="A47" s="73" t="s">
        <v>56</v>
      </c>
      <c r="B47" s="86">
        <f>'Benefits-Cost-calcs'!L29</f>
        <v>147881.53168117441</v>
      </c>
      <c r="C47" s="86">
        <f>'Benefits-Cost-calcs'!M29</f>
        <v>154263.3799247625</v>
      </c>
      <c r="D47" s="86">
        <f>'Benefits-Cost-calcs'!N29</f>
        <v>160920.63772450795</v>
      </c>
      <c r="E47" s="86">
        <f>'Benefits-Cost-calcs'!O29</f>
        <v>167865.19041843951</v>
      </c>
      <c r="F47" s="86">
        <f>'Benefits-Cost-calcs'!P29</f>
        <v>175109.43625801566</v>
      </c>
      <c r="G47" s="86">
        <f>'Benefits-Cost-calcs'!Q29</f>
        <v>182666.30854297575</v>
      </c>
      <c r="H47" s="86">
        <f>'Benefits-Cost-calcs'!R29</f>
        <v>190549.29871142359</v>
      </c>
      <c r="I47" s="86">
        <f>'Benefits-Cost-calcs'!S29</f>
        <v>198772.48042636688</v>
      </c>
      <c r="J47" s="86">
        <f>'Benefits-Cost-calcs'!T29</f>
        <v>207350.5347017145</v>
      </c>
      <c r="K47" s="86">
        <f>'Benefits-Cost-calcs'!U29</f>
        <v>216298.77611259001</v>
      </c>
      <c r="L47" s="86">
        <f>'Benefits-Cost-calcs'!V29</f>
        <v>225633.18013675467</v>
      </c>
      <c r="M47" s="86">
        <f>'Benefits-Cost-calcs'!W29</f>
        <v>235370.41167595334</v>
      </c>
      <c r="N47" s="86">
        <f>'Benefits-Cost-calcs'!X29</f>
        <v>245527.85480810344</v>
      </c>
      <c r="O47" s="86">
        <f>'Benefits-Cost-calcs'!Y29</f>
        <v>256123.64382344348</v>
      </c>
      <c r="P47" s="86">
        <f>'Benefits-Cost-calcs'!Z29</f>
        <v>267176.69560005073</v>
      </c>
      <c r="Q47" s="86">
        <f>'Benefits-Cost-calcs'!AA29</f>
        <v>278706.74337652989</v>
      </c>
      <c r="R47" s="86">
        <f>'Benefits-Cost-calcs'!AB29</f>
        <v>290734.3719821652</v>
      </c>
      <c r="S47" s="86">
        <f>'Benefits-Cost-calcs'!AC29</f>
        <v>303281.05458743649</v>
      </c>
      <c r="T47" s="86">
        <f>'Benefits-Cost-calcs'!AD29</f>
        <v>316369.19104050746</v>
      </c>
      <c r="U47" s="86">
        <f>'Benefits-Cost-calcs'!AE29</f>
        <v>316369.19104050746</v>
      </c>
      <c r="V47" s="86">
        <f>'Benefits-Cost-calcs'!AF29</f>
        <v>316369.19104050746</v>
      </c>
      <c r="W47" s="86">
        <f>'Benefits-Cost-calcs'!AG29</f>
        <v>316369.19104050746</v>
      </c>
      <c r="X47" s="86">
        <f>'Benefits-Cost-calcs'!AH29</f>
        <v>316369.19104050746</v>
      </c>
      <c r="Y47" s="86">
        <f>'Benefits-Cost-calcs'!AI29</f>
        <v>316369.19104050746</v>
      </c>
      <c r="Z47" s="86">
        <f>'Benefits-Cost-calcs'!AJ29</f>
        <v>316369.19104050746</v>
      </c>
      <c r="AA47" s="86">
        <f>'Benefits-Cost-calcs'!AK29</f>
        <v>316369.19104050746</v>
      </c>
      <c r="AB47" s="86">
        <f>'Benefits-Cost-calcs'!AL29</f>
        <v>316369.19104050746</v>
      </c>
      <c r="AC47" s="86">
        <f>'Benefits-Cost-calcs'!AM29</f>
        <v>316369.19104050746</v>
      </c>
      <c r="AD47" s="86">
        <f>'Benefits-Cost-calcs'!AN29</f>
        <v>316369.19104050746</v>
      </c>
      <c r="AE47" s="86">
        <f>'Benefits-Cost-calcs'!AO29</f>
        <v>316369.19104050746</v>
      </c>
      <c r="AF47" s="86" t="e">
        <f>'Benefits-Cost-calcs'!#REF!</f>
        <v>#REF!</v>
      </c>
    </row>
    <row r="49" spans="1:32">
      <c r="A49" s="98" t="s">
        <v>120</v>
      </c>
      <c r="B49" s="98"/>
    </row>
    <row r="50" spans="1:32">
      <c r="A50" s="8" t="s">
        <v>171</v>
      </c>
      <c r="B50" s="8"/>
    </row>
    <row r="51" spans="1:32">
      <c r="A51" s="68" t="s">
        <v>50</v>
      </c>
      <c r="B51" s="68"/>
    </row>
    <row r="52" spans="1:32">
      <c r="A52" s="73" t="s">
        <v>51</v>
      </c>
      <c r="B52" s="101">
        <f t="shared" ref="B52" si="22">B$43/gr_per_ton*B9</f>
        <v>3.36414897971129</v>
      </c>
      <c r="C52" s="101">
        <f t="shared" ref="C52:AF52" si="23">C$43/gr_per_ton*C9</f>
        <v>3.1582534872012622</v>
      </c>
      <c r="D52" s="101">
        <f t="shared" si="23"/>
        <v>2.9649593848471434</v>
      </c>
      <c r="E52" s="101">
        <f t="shared" si="23"/>
        <v>2.7834954317056497</v>
      </c>
      <c r="F52" s="101">
        <f t="shared" si="23"/>
        <v>2.6131375889743116</v>
      </c>
      <c r="G52" s="101">
        <f t="shared" si="23"/>
        <v>2.4532061310861097</v>
      </c>
      <c r="H52" s="101">
        <f t="shared" si="23"/>
        <v>2.3030629336133441</v>
      </c>
      <c r="I52" s="101">
        <f t="shared" si="23"/>
        <v>2.1621089271595024</v>
      </c>
      <c r="J52" s="101">
        <f t="shared" si="23"/>
        <v>2.0297817070801951</v>
      </c>
      <c r="K52" s="101">
        <f t="shared" si="23"/>
        <v>1.9055532894959688</v>
      </c>
      <c r="L52" s="101">
        <f t="shared" si="23"/>
        <v>1.7889280046435285</v>
      </c>
      <c r="M52" s="101">
        <f t="shared" si="23"/>
        <v>1.6794405191598532</v>
      </c>
      <c r="N52" s="101">
        <f t="shared" si="23"/>
        <v>1.5766539794081591</v>
      </c>
      <c r="O52" s="101">
        <f t="shared" si="23"/>
        <v>1.4801582684375947</v>
      </c>
      <c r="P52" s="101">
        <f t="shared" si="23"/>
        <v>1.3895683696219652</v>
      </c>
      <c r="Q52" s="101">
        <f t="shared" si="23"/>
        <v>1.304522830448422</v>
      </c>
      <c r="R52" s="101">
        <f t="shared" si="23"/>
        <v>1.2246823203266601</v>
      </c>
      <c r="S52" s="101">
        <f t="shared" si="23"/>
        <v>1.1497282766642949</v>
      </c>
      <c r="T52" s="101">
        <f t="shared" si="23"/>
        <v>1.0793616338062813</v>
      </c>
      <c r="U52" s="101">
        <f t="shared" si="23"/>
        <v>1.0793616338062813</v>
      </c>
      <c r="V52" s="101">
        <f t="shared" si="23"/>
        <v>1.0793616338062813</v>
      </c>
      <c r="W52" s="101">
        <f t="shared" si="23"/>
        <v>1.0793616338062813</v>
      </c>
      <c r="X52" s="101">
        <f t="shared" si="23"/>
        <v>1.0793616338062813</v>
      </c>
      <c r="Y52" s="101">
        <f t="shared" si="23"/>
        <v>1.0793616338062813</v>
      </c>
      <c r="Z52" s="101">
        <f t="shared" si="23"/>
        <v>1.0793616338062813</v>
      </c>
      <c r="AA52" s="101">
        <f t="shared" si="23"/>
        <v>1.0793616338062813</v>
      </c>
      <c r="AB52" s="101">
        <f t="shared" si="23"/>
        <v>1.0793616338062813</v>
      </c>
      <c r="AC52" s="101">
        <f t="shared" si="23"/>
        <v>1.0793616338062813</v>
      </c>
      <c r="AD52" s="101">
        <f t="shared" si="23"/>
        <v>1.0793616338062813</v>
      </c>
      <c r="AE52" s="101">
        <f t="shared" si="23"/>
        <v>1.0793616338062813</v>
      </c>
      <c r="AF52" s="101" t="e">
        <f t="shared" si="23"/>
        <v>#REF!</v>
      </c>
    </row>
    <row r="53" spans="1:32">
      <c r="A53" s="73" t="s">
        <v>52</v>
      </c>
      <c r="B53" s="101">
        <f t="shared" ref="B53" si="24">B$43/gr_per_ton*B10</f>
        <v>3.9807038160021277</v>
      </c>
      <c r="C53" s="101">
        <f t="shared" ref="C53:AF53" si="25">C$43/gr_per_ton*C10</f>
        <v>3.9032811422698801</v>
      </c>
      <c r="D53" s="101">
        <f t="shared" si="25"/>
        <v>3.8273643003414839</v>
      </c>
      <c r="E53" s="101">
        <f t="shared" si="25"/>
        <v>3.7529240025507797</v>
      </c>
      <c r="F53" s="101">
        <f t="shared" si="25"/>
        <v>3.6799315308618858</v>
      </c>
      <c r="G53" s="101">
        <f t="shared" si="25"/>
        <v>3.6083587257901764</v>
      </c>
      <c r="H53" s="101">
        <f t="shared" si="25"/>
        <v>3.5381779755387455</v>
      </c>
      <c r="I53" s="101">
        <f t="shared" si="25"/>
        <v>3.4693622053461577</v>
      </c>
      <c r="J53" s="101">
        <f t="shared" si="25"/>
        <v>3.4018848670413773</v>
      </c>
      <c r="K53" s="101">
        <f t="shared" si="25"/>
        <v>3.3357199288018538</v>
      </c>
      <c r="L53" s="101">
        <f t="shared" si="25"/>
        <v>3.2708418651108064</v>
      </c>
      <c r="M53" s="101">
        <f t="shared" si="25"/>
        <v>3.2072256469098304</v>
      </c>
      <c r="N53" s="101">
        <f t="shared" si="25"/>
        <v>3.1448467319430344</v>
      </c>
      <c r="O53" s="101">
        <f t="shared" si="25"/>
        <v>3.0836810552889786</v>
      </c>
      <c r="P53" s="101">
        <f t="shared" si="25"/>
        <v>3.0237050200767612</v>
      </c>
      <c r="Q53" s="101">
        <f t="shared" si="25"/>
        <v>2.9648954883826715</v>
      </c>
      <c r="R53" s="101">
        <f t="shared" si="25"/>
        <v>2.9072297723038987</v>
      </c>
      <c r="S53" s="101">
        <f t="shared" si="25"/>
        <v>2.8506856252058572</v>
      </c>
      <c r="T53" s="101">
        <f t="shared" si="25"/>
        <v>2.795241233139746</v>
      </c>
      <c r="U53" s="101">
        <f t="shared" si="25"/>
        <v>2.795241233139746</v>
      </c>
      <c r="V53" s="101">
        <f t="shared" si="25"/>
        <v>2.795241233139746</v>
      </c>
      <c r="W53" s="101">
        <f t="shared" si="25"/>
        <v>2.795241233139746</v>
      </c>
      <c r="X53" s="101">
        <f t="shared" si="25"/>
        <v>2.795241233139746</v>
      </c>
      <c r="Y53" s="101">
        <f t="shared" si="25"/>
        <v>2.795241233139746</v>
      </c>
      <c r="Z53" s="101">
        <f t="shared" si="25"/>
        <v>2.795241233139746</v>
      </c>
      <c r="AA53" s="101">
        <f t="shared" si="25"/>
        <v>2.795241233139746</v>
      </c>
      <c r="AB53" s="101">
        <f t="shared" si="25"/>
        <v>2.795241233139746</v>
      </c>
      <c r="AC53" s="101">
        <f t="shared" si="25"/>
        <v>2.795241233139746</v>
      </c>
      <c r="AD53" s="101">
        <f t="shared" si="25"/>
        <v>2.795241233139746</v>
      </c>
      <c r="AE53" s="101">
        <f t="shared" si="25"/>
        <v>2.795241233139746</v>
      </c>
      <c r="AF53" s="101" t="e">
        <f t="shared" si="25"/>
        <v>#REF!</v>
      </c>
    </row>
    <row r="54" spans="1:32">
      <c r="A54" s="73" t="s">
        <v>53</v>
      </c>
      <c r="B54" s="101">
        <f t="shared" ref="B54" si="26">B$43/gr_per_ton*B11</f>
        <v>0.40977392594764306</v>
      </c>
      <c r="C54" s="101">
        <f t="shared" ref="C54:AF54" si="27">C$43/gr_per_ton*C11</f>
        <v>0.4094943380724882</v>
      </c>
      <c r="D54" s="101">
        <f t="shared" si="27"/>
        <v>0.4092149409595438</v>
      </c>
      <c r="E54" s="101">
        <f t="shared" si="27"/>
        <v>0.40893573447865333</v>
      </c>
      <c r="F54" s="101">
        <f t="shared" si="27"/>
        <v>0.40865671849974894</v>
      </c>
      <c r="G54" s="101">
        <f t="shared" si="27"/>
        <v>0.40837789289285142</v>
      </c>
      <c r="H54" s="101">
        <f t="shared" si="27"/>
        <v>0.40809925752807047</v>
      </c>
      <c r="I54" s="101">
        <f t="shared" si="27"/>
        <v>0.40782081227560424</v>
      </c>
      <c r="J54" s="101">
        <f t="shared" si="27"/>
        <v>0.40754255700573955</v>
      </c>
      <c r="K54" s="101">
        <f t="shared" si="27"/>
        <v>0.40726449158885164</v>
      </c>
      <c r="L54" s="101">
        <f t="shared" si="27"/>
        <v>0.4069866158954043</v>
      </c>
      <c r="M54" s="101">
        <f t="shared" si="27"/>
        <v>0.40670892979594953</v>
      </c>
      <c r="N54" s="101">
        <f t="shared" si="27"/>
        <v>0.40643143316112773</v>
      </c>
      <c r="O54" s="101">
        <f t="shared" si="27"/>
        <v>0.40615412586166766</v>
      </c>
      <c r="P54" s="101">
        <f t="shared" si="27"/>
        <v>0.40587700776838626</v>
      </c>
      <c r="Q54" s="101">
        <f t="shared" si="27"/>
        <v>0.40560007875218851</v>
      </c>
      <c r="R54" s="101">
        <f t="shared" si="27"/>
        <v>0.40532333868406745</v>
      </c>
      <c r="S54" s="101">
        <f t="shared" si="27"/>
        <v>0.40504678743510431</v>
      </c>
      <c r="T54" s="101">
        <f t="shared" si="27"/>
        <v>0.40477042487646886</v>
      </c>
      <c r="U54" s="101">
        <f t="shared" si="27"/>
        <v>0.40477042487646886</v>
      </c>
      <c r="V54" s="101">
        <f t="shared" si="27"/>
        <v>0.40477042487646886</v>
      </c>
      <c r="W54" s="101">
        <f t="shared" si="27"/>
        <v>0.40477042487646886</v>
      </c>
      <c r="X54" s="101">
        <f t="shared" si="27"/>
        <v>0.40477042487646886</v>
      </c>
      <c r="Y54" s="101">
        <f t="shared" si="27"/>
        <v>0.40477042487646886</v>
      </c>
      <c r="Z54" s="101">
        <f t="shared" si="27"/>
        <v>0.40477042487646886</v>
      </c>
      <c r="AA54" s="101">
        <f t="shared" si="27"/>
        <v>0.40477042487646886</v>
      </c>
      <c r="AB54" s="101">
        <f t="shared" si="27"/>
        <v>0.40477042487646886</v>
      </c>
      <c r="AC54" s="101">
        <f t="shared" si="27"/>
        <v>0.40477042487646886</v>
      </c>
      <c r="AD54" s="101">
        <f t="shared" si="27"/>
        <v>0.40477042487646886</v>
      </c>
      <c r="AE54" s="101">
        <f t="shared" si="27"/>
        <v>0.40477042487646886</v>
      </c>
      <c r="AF54" s="101" t="e">
        <f t="shared" si="27"/>
        <v>#REF!</v>
      </c>
    </row>
    <row r="55" spans="1:32">
      <c r="A55" s="73" t="s">
        <v>54</v>
      </c>
      <c r="B55" s="100">
        <f t="shared" ref="B55" si="28">B$43/gr_per_Mtonne*B12</f>
        <v>37565.468048552219</v>
      </c>
      <c r="C55" s="100">
        <f t="shared" ref="C55:AF55" si="29">C$43/gr_per_Mtonne*C12</f>
        <v>37539.837209873047</v>
      </c>
      <c r="D55" s="100">
        <f t="shared" si="29"/>
        <v>37514.223859060403</v>
      </c>
      <c r="E55" s="100">
        <f t="shared" si="29"/>
        <v>37488.627984182356</v>
      </c>
      <c r="F55" s="100">
        <f t="shared" si="29"/>
        <v>37463.049573315111</v>
      </c>
      <c r="G55" s="100">
        <f t="shared" si="29"/>
        <v>37437.488614543028</v>
      </c>
      <c r="H55" s="100">
        <f t="shared" si="29"/>
        <v>37411.945095958552</v>
      </c>
      <c r="I55" s="100">
        <f t="shared" si="29"/>
        <v>37386.41900566229</v>
      </c>
      <c r="J55" s="100">
        <f t="shared" si="29"/>
        <v>37360.910331762963</v>
      </c>
      <c r="K55" s="100">
        <f t="shared" si="29"/>
        <v>37335.419062377397</v>
      </c>
      <c r="L55" s="100">
        <f t="shared" si="29"/>
        <v>37309.945185630531</v>
      </c>
      <c r="M55" s="100">
        <f t="shared" si="29"/>
        <v>37284.488689655409</v>
      </c>
      <c r="N55" s="100">
        <f t="shared" si="29"/>
        <v>37259.049562593151</v>
      </c>
      <c r="O55" s="100">
        <f t="shared" si="29"/>
        <v>37233.627792593004</v>
      </c>
      <c r="P55" s="100">
        <f t="shared" si="29"/>
        <v>37208.223367812272</v>
      </c>
      <c r="Q55" s="100">
        <f t="shared" si="29"/>
        <v>37182.836276416354</v>
      </c>
      <c r="R55" s="100">
        <f t="shared" si="29"/>
        <v>37157.466506578719</v>
      </c>
      <c r="S55" s="100">
        <f t="shared" si="29"/>
        <v>37132.114046480892</v>
      </c>
      <c r="T55" s="100">
        <f t="shared" si="29"/>
        <v>37106.778884312589</v>
      </c>
      <c r="U55" s="100">
        <f t="shared" si="29"/>
        <v>37106.778884312589</v>
      </c>
      <c r="V55" s="100">
        <f t="shared" si="29"/>
        <v>37106.778884312589</v>
      </c>
      <c r="W55" s="100">
        <f t="shared" si="29"/>
        <v>37106.778884312589</v>
      </c>
      <c r="X55" s="100">
        <f t="shared" si="29"/>
        <v>37106.778884312589</v>
      </c>
      <c r="Y55" s="100">
        <f t="shared" si="29"/>
        <v>37106.778884312589</v>
      </c>
      <c r="Z55" s="100">
        <f t="shared" si="29"/>
        <v>37106.778884312589</v>
      </c>
      <c r="AA55" s="100">
        <f t="shared" si="29"/>
        <v>37106.778884312589</v>
      </c>
      <c r="AB55" s="100">
        <f t="shared" si="29"/>
        <v>37106.778884312589</v>
      </c>
      <c r="AC55" s="100">
        <f t="shared" si="29"/>
        <v>37106.778884312589</v>
      </c>
      <c r="AD55" s="100">
        <f t="shared" si="29"/>
        <v>37106.778884312589</v>
      </c>
      <c r="AE55" s="100">
        <f t="shared" si="29"/>
        <v>37106.778884312589</v>
      </c>
      <c r="AF55" s="100" t="e">
        <f t="shared" si="29"/>
        <v>#REF!</v>
      </c>
    </row>
    <row r="56" spans="1:32">
      <c r="A56" s="73" t="s">
        <v>55</v>
      </c>
      <c r="B56" s="101">
        <f t="shared" ref="B56" si="30">B$43/gr_per_ton*B13</f>
        <v>0.60642515653100004</v>
      </c>
      <c r="C56" s="101">
        <f t="shared" ref="C56:AF56" si="31">C$43/gr_per_ton*C13</f>
        <v>0.58373101331308619</v>
      </c>
      <c r="D56" s="101">
        <f t="shared" si="31"/>
        <v>0.56188614907189116</v>
      </c>
      <c r="E56" s="101">
        <f t="shared" si="31"/>
        <v>0.54085878138789945</v>
      </c>
      <c r="F56" s="101">
        <f t="shared" si="31"/>
        <v>0.52061831722955632</v>
      </c>
      <c r="G56" s="101">
        <f t="shared" si="31"/>
        <v>0.50113530844300891</v>
      </c>
      <c r="H56" s="101">
        <f t="shared" si="31"/>
        <v>0.48238140890754722</v>
      </c>
      <c r="I56" s="101">
        <f t="shared" si="31"/>
        <v>0.46432933329440873</v>
      </c>
      <c r="J56" s="101">
        <f t="shared" si="31"/>
        <v>0.44695281736894665</v>
      </c>
      <c r="K56" s="101">
        <f t="shared" si="31"/>
        <v>0.43022657977840162</v>
      </c>
      <c r="L56" s="101">
        <f t="shared" si="31"/>
        <v>0.41412628526968404</v>
      </c>
      <c r="M56" s="101">
        <f t="shared" si="31"/>
        <v>0.3986285092836504</v>
      </c>
      <c r="N56" s="101">
        <f t="shared" si="31"/>
        <v>0.38371070387436207</v>
      </c>
      <c r="O56" s="101">
        <f t="shared" si="31"/>
        <v>0.36935116490374192</v>
      </c>
      <c r="P56" s="101">
        <f t="shared" si="31"/>
        <v>0.35552900046389924</v>
      </c>
      <c r="Q56" s="101">
        <f t="shared" si="31"/>
        <v>0.34222410048118057</v>
      </c>
      <c r="R56" s="101">
        <f t="shared" si="31"/>
        <v>0.32941710745772307</v>
      </c>
      <c r="S56" s="101">
        <f t="shared" si="31"/>
        <v>0.31708938830794159</v>
      </c>
      <c r="T56" s="101">
        <f t="shared" si="31"/>
        <v>0.30522300724897455</v>
      </c>
      <c r="U56" s="101">
        <f t="shared" si="31"/>
        <v>0.30522300724897455</v>
      </c>
      <c r="V56" s="101">
        <f t="shared" si="31"/>
        <v>0.30522300724897455</v>
      </c>
      <c r="W56" s="101">
        <f t="shared" si="31"/>
        <v>0.30522300724897455</v>
      </c>
      <c r="X56" s="101">
        <f t="shared" si="31"/>
        <v>0.30522300724897455</v>
      </c>
      <c r="Y56" s="101">
        <f t="shared" si="31"/>
        <v>0.30522300724897455</v>
      </c>
      <c r="Z56" s="101">
        <f t="shared" si="31"/>
        <v>0.30522300724897455</v>
      </c>
      <c r="AA56" s="101">
        <f t="shared" si="31"/>
        <v>0.30522300724897455</v>
      </c>
      <c r="AB56" s="101">
        <f t="shared" si="31"/>
        <v>0.30522300724897455</v>
      </c>
      <c r="AC56" s="101">
        <f t="shared" si="31"/>
        <v>0.30522300724897455</v>
      </c>
      <c r="AD56" s="101">
        <f t="shared" si="31"/>
        <v>0.30522300724897455</v>
      </c>
      <c r="AE56" s="101">
        <f t="shared" si="31"/>
        <v>0.30522300724897455</v>
      </c>
      <c r="AF56" s="101" t="e">
        <f t="shared" si="31"/>
        <v>#REF!</v>
      </c>
    </row>
    <row r="57" spans="1:32">
      <c r="A57" s="68" t="s">
        <v>56</v>
      </c>
    </row>
    <row r="58" spans="1:32">
      <c r="A58" s="73" t="s">
        <v>51</v>
      </c>
      <c r="B58" s="101">
        <f t="shared" ref="B58" si="32">B$44/gr_per_ton*B15</f>
        <v>7.2736101082544719E-2</v>
      </c>
      <c r="C58" s="101">
        <f t="shared" ref="C58:AF58" si="33">C$44/gr_per_ton*C15</f>
        <v>7.3591603158748603E-2</v>
      </c>
      <c r="D58" s="101">
        <f t="shared" si="33"/>
        <v>7.4457167415788367E-2</v>
      </c>
      <c r="E58" s="101">
        <f t="shared" si="33"/>
        <v>7.5332912202275878E-2</v>
      </c>
      <c r="F58" s="101">
        <f t="shared" si="33"/>
        <v>7.6218957258806938E-2</v>
      </c>
      <c r="G58" s="101">
        <f t="shared" si="33"/>
        <v>7.7115423734333402E-2</v>
      </c>
      <c r="H58" s="101">
        <f t="shared" si="33"/>
        <v>7.8022434202727836E-2</v>
      </c>
      <c r="I58" s="101">
        <f t="shared" si="33"/>
        <v>7.8940112679543151E-2</v>
      </c>
      <c r="J58" s="101">
        <f t="shared" si="33"/>
        <v>7.9868584638969148E-2</v>
      </c>
      <c r="K58" s="101">
        <f t="shared" si="33"/>
        <v>8.0807977030988659E-2</v>
      </c>
      <c r="L58" s="101">
        <f t="shared" si="33"/>
        <v>8.1758418298735369E-2</v>
      </c>
      <c r="M58" s="101">
        <f t="shared" si="33"/>
        <v>8.272003839605592E-2</v>
      </c>
      <c r="N58" s="101">
        <f t="shared" si="33"/>
        <v>8.3692968805278448E-2</v>
      </c>
      <c r="O58" s="101">
        <f t="shared" si="33"/>
        <v>8.467734255519016E-2</v>
      </c>
      <c r="P58" s="101">
        <f t="shared" si="33"/>
        <v>8.5673294239226441E-2</v>
      </c>
      <c r="Q58" s="101">
        <f t="shared" si="33"/>
        <v>8.6680960033873683E-2</v>
      </c>
      <c r="R58" s="101">
        <f t="shared" si="33"/>
        <v>8.7700477717288824E-2</v>
      </c>
      <c r="S58" s="101">
        <f t="shared" si="33"/>
        <v>8.8731986688137643E-2</v>
      </c>
      <c r="T58" s="101">
        <f t="shared" si="33"/>
        <v>8.9775627984655146E-2</v>
      </c>
      <c r="U58" s="101">
        <f t="shared" si="33"/>
        <v>8.9775627984655146E-2</v>
      </c>
      <c r="V58" s="101">
        <f t="shared" si="33"/>
        <v>8.9775627984655146E-2</v>
      </c>
      <c r="W58" s="101">
        <f t="shared" si="33"/>
        <v>8.9775627984655146E-2</v>
      </c>
      <c r="X58" s="101">
        <f t="shared" si="33"/>
        <v>8.9775627984655146E-2</v>
      </c>
      <c r="Y58" s="101">
        <f t="shared" si="33"/>
        <v>8.9775627984655146E-2</v>
      </c>
      <c r="Z58" s="101">
        <f t="shared" si="33"/>
        <v>8.9775627984655146E-2</v>
      </c>
      <c r="AA58" s="101">
        <f t="shared" si="33"/>
        <v>8.9775627984655146E-2</v>
      </c>
      <c r="AB58" s="101">
        <f t="shared" si="33"/>
        <v>8.9775627984655146E-2</v>
      </c>
      <c r="AC58" s="101">
        <f t="shared" si="33"/>
        <v>8.9775627984655146E-2</v>
      </c>
      <c r="AD58" s="101">
        <f t="shared" si="33"/>
        <v>8.9775627984655146E-2</v>
      </c>
      <c r="AE58" s="101">
        <f t="shared" si="33"/>
        <v>8.9775627984655146E-2</v>
      </c>
      <c r="AF58" s="101" t="e">
        <f t="shared" si="33"/>
        <v>#REF!</v>
      </c>
    </row>
    <row r="59" spans="1:32">
      <c r="A59" s="73" t="s">
        <v>52</v>
      </c>
      <c r="B59" s="101">
        <f t="shared" ref="B59" si="34">B$44/gr_per_ton*B16</f>
        <v>7.6424236435003401</v>
      </c>
      <c r="C59" s="101">
        <f t="shared" ref="C59:AF59" si="35">C$44/gr_per_ton*C16</f>
        <v>7.7502647124831396</v>
      </c>
      <c r="D59" s="101">
        <f t="shared" si="35"/>
        <v>7.8596275102658391</v>
      </c>
      <c r="E59" s="101">
        <f t="shared" si="35"/>
        <v>7.9705335097303616</v>
      </c>
      <c r="F59" s="101">
        <f t="shared" si="35"/>
        <v>8.0830044867591706</v>
      </c>
      <c r="G59" s="101">
        <f t="shared" si="35"/>
        <v>8.1970625245108764</v>
      </c>
      <c r="H59" s="101">
        <f t="shared" si="35"/>
        <v>8.3127300177561487</v>
      </c>
      <c r="I59" s="101">
        <f t="shared" si="35"/>
        <v>8.4300296772748471</v>
      </c>
      <c r="J59" s="101">
        <f t="shared" si="35"/>
        <v>8.5489845343151529</v>
      </c>
      <c r="K59" s="101">
        <f t="shared" si="35"/>
        <v>8.6696179451156734</v>
      </c>
      <c r="L59" s="101">
        <f t="shared" si="35"/>
        <v>8.7919535954913073</v>
      </c>
      <c r="M59" s="101">
        <f t="shared" si="35"/>
        <v>8.9160155054838679</v>
      </c>
      <c r="N59" s="101">
        <f t="shared" si="35"/>
        <v>9.0418280340782946</v>
      </c>
      <c r="O59" s="101">
        <f t="shared" si="35"/>
        <v>9.1694158839854261</v>
      </c>
      <c r="P59" s="101">
        <f t="shared" si="35"/>
        <v>9.2988041064922804</v>
      </c>
      <c r="Q59" s="101">
        <f t="shared" si="35"/>
        <v>9.4300181063807358</v>
      </c>
      <c r="R59" s="101">
        <f t="shared" si="35"/>
        <v>9.5630836469156613</v>
      </c>
      <c r="S59" s="101">
        <f t="shared" si="35"/>
        <v>9.6980268549034037</v>
      </c>
      <c r="T59" s="101">
        <f t="shared" si="35"/>
        <v>9.8348742258217143</v>
      </c>
      <c r="U59" s="101">
        <f t="shared" si="35"/>
        <v>9.8348742258217143</v>
      </c>
      <c r="V59" s="101">
        <f t="shared" si="35"/>
        <v>9.8348742258217143</v>
      </c>
      <c r="W59" s="101">
        <f t="shared" si="35"/>
        <v>9.8348742258217143</v>
      </c>
      <c r="X59" s="101">
        <f t="shared" si="35"/>
        <v>9.8348742258217143</v>
      </c>
      <c r="Y59" s="101">
        <f t="shared" si="35"/>
        <v>9.8348742258217143</v>
      </c>
      <c r="Z59" s="101">
        <f t="shared" si="35"/>
        <v>9.8348742258217143</v>
      </c>
      <c r="AA59" s="101">
        <f t="shared" si="35"/>
        <v>9.8348742258217143</v>
      </c>
      <c r="AB59" s="101">
        <f t="shared" si="35"/>
        <v>9.8348742258217143</v>
      </c>
      <c r="AC59" s="101">
        <f t="shared" si="35"/>
        <v>9.8348742258217143</v>
      </c>
      <c r="AD59" s="101">
        <f t="shared" si="35"/>
        <v>9.8348742258217143</v>
      </c>
      <c r="AE59" s="101">
        <f t="shared" si="35"/>
        <v>9.8348742258217143</v>
      </c>
      <c r="AF59" s="101" t="e">
        <f t="shared" si="35"/>
        <v>#REF!</v>
      </c>
    </row>
    <row r="60" spans="1:32">
      <c r="A60" s="73" t="s">
        <v>53</v>
      </c>
      <c r="B60" s="101">
        <f t="shared" ref="B60" si="36">B$44/gr_per_ton*B17</f>
        <v>3.7457239284905158E-2</v>
      </c>
      <c r="C60" s="101">
        <f t="shared" ref="C60:AF60" si="37">C$44/gr_per_ton*C17</f>
        <v>3.7508372904502797E-2</v>
      </c>
      <c r="D60" s="101">
        <f t="shared" si="37"/>
        <v>3.7559576327617812E-2</v>
      </c>
      <c r="E60" s="101">
        <f t="shared" si="37"/>
        <v>3.7610849649540368E-2</v>
      </c>
      <c r="F60" s="101">
        <f t="shared" si="37"/>
        <v>3.7662192965690705E-2</v>
      </c>
      <c r="G60" s="101">
        <f t="shared" si="37"/>
        <v>3.771360637161935E-2</v>
      </c>
      <c r="H60" s="101">
        <f t="shared" si="37"/>
        <v>3.776508996300721E-2</v>
      </c>
      <c r="I60" s="101">
        <f t="shared" si="37"/>
        <v>3.7816643835665874E-2</v>
      </c>
      <c r="J60" s="101">
        <f t="shared" si="37"/>
        <v>3.7868268085537692E-2</v>
      </c>
      <c r="K60" s="101">
        <f t="shared" si="37"/>
        <v>3.7919962808695994E-2</v>
      </c>
      <c r="L60" s="101">
        <f t="shared" si="37"/>
        <v>3.7971728101345255E-2</v>
      </c>
      <c r="M60" s="101">
        <f t="shared" si="37"/>
        <v>3.8023564059821297E-2</v>
      </c>
      <c r="N60" s="101">
        <f t="shared" si="37"/>
        <v>3.8075470780591425E-2</v>
      </c>
      <c r="O60" s="101">
        <f t="shared" si="37"/>
        <v>3.8127448360254647E-2</v>
      </c>
      <c r="P60" s="101">
        <f t="shared" si="37"/>
        <v>3.8179496895541863E-2</v>
      </c>
      <c r="Q60" s="101">
        <f t="shared" si="37"/>
        <v>3.8231616483315987E-2</v>
      </c>
      <c r="R60" s="101">
        <f t="shared" si="37"/>
        <v>3.8283807220572182E-2</v>
      </c>
      <c r="S60" s="101">
        <f t="shared" si="37"/>
        <v>3.8336069204438009E-2</v>
      </c>
      <c r="T60" s="101">
        <f t="shared" si="37"/>
        <v>3.8388402532173731E-2</v>
      </c>
      <c r="U60" s="101">
        <f t="shared" si="37"/>
        <v>3.8388402532173731E-2</v>
      </c>
      <c r="V60" s="101">
        <f t="shared" si="37"/>
        <v>3.8388402532173731E-2</v>
      </c>
      <c r="W60" s="101">
        <f t="shared" si="37"/>
        <v>3.8388402532173731E-2</v>
      </c>
      <c r="X60" s="101">
        <f t="shared" si="37"/>
        <v>3.8388402532173731E-2</v>
      </c>
      <c r="Y60" s="101">
        <f t="shared" si="37"/>
        <v>3.8388402532173731E-2</v>
      </c>
      <c r="Z60" s="101">
        <f t="shared" si="37"/>
        <v>3.8388402532173731E-2</v>
      </c>
      <c r="AA60" s="101">
        <f t="shared" si="37"/>
        <v>3.8388402532173731E-2</v>
      </c>
      <c r="AB60" s="101">
        <f t="shared" si="37"/>
        <v>3.8388402532173731E-2</v>
      </c>
      <c r="AC60" s="101">
        <f t="shared" si="37"/>
        <v>3.8388402532173731E-2</v>
      </c>
      <c r="AD60" s="101">
        <f t="shared" si="37"/>
        <v>3.8388402532173731E-2</v>
      </c>
      <c r="AE60" s="101">
        <f t="shared" si="37"/>
        <v>3.8388402532173731E-2</v>
      </c>
      <c r="AF60" s="101" t="e">
        <f t="shared" si="37"/>
        <v>#REF!</v>
      </c>
    </row>
    <row r="61" spans="1:32">
      <c r="A61" s="73" t="s">
        <v>54</v>
      </c>
      <c r="B61" s="100">
        <f t="shared" ref="B61" si="38">B$44/gr_per_Mtonne*B18</f>
        <v>3596.7854647414183</v>
      </c>
      <c r="C61" s="100">
        <f t="shared" ref="C61:AF61" si="39">C$44/gr_per_Mtonne*C18</f>
        <v>3601.6955078529663</v>
      </c>
      <c r="D61" s="100">
        <f t="shared" si="39"/>
        <v>3606.6122537616625</v>
      </c>
      <c r="E61" s="100">
        <f t="shared" si="39"/>
        <v>3611.5357116176287</v>
      </c>
      <c r="F61" s="100">
        <f t="shared" si="39"/>
        <v>3616.4658905834772</v>
      </c>
      <c r="G61" s="100">
        <f t="shared" si="39"/>
        <v>3621.402799834329</v>
      </c>
      <c r="H61" s="100">
        <f t="shared" si="39"/>
        <v>3626.3464485578265</v>
      </c>
      <c r="I61" s="100">
        <f t="shared" si="39"/>
        <v>3631.2968459541607</v>
      </c>
      <c r="J61" s="100">
        <f t="shared" si="39"/>
        <v>3636.2540012360764</v>
      </c>
      <c r="K61" s="100">
        <f t="shared" si="39"/>
        <v>3641.2179236288994</v>
      </c>
      <c r="L61" s="100">
        <f t="shared" si="39"/>
        <v>3646.1886223705442</v>
      </c>
      <c r="M61" s="100">
        <f t="shared" si="39"/>
        <v>3651.166106711541</v>
      </c>
      <c r="N61" s="100">
        <f t="shared" si="39"/>
        <v>3656.1503859150453</v>
      </c>
      <c r="O61" s="100">
        <f t="shared" si="39"/>
        <v>3661.1414692568574</v>
      </c>
      <c r="P61" s="100">
        <f t="shared" si="39"/>
        <v>3666.139366025443</v>
      </c>
      <c r="Q61" s="100">
        <f t="shared" si="39"/>
        <v>3671.1440855219453</v>
      </c>
      <c r="R61" s="100">
        <f t="shared" si="39"/>
        <v>3676.1556370602061</v>
      </c>
      <c r="S61" s="100">
        <f t="shared" si="39"/>
        <v>3681.1740299667795</v>
      </c>
      <c r="T61" s="100">
        <f t="shared" si="39"/>
        <v>3686.1992735809658</v>
      </c>
      <c r="U61" s="100">
        <f t="shared" si="39"/>
        <v>3686.1992735809658</v>
      </c>
      <c r="V61" s="100">
        <f t="shared" si="39"/>
        <v>3686.1992735809658</v>
      </c>
      <c r="W61" s="100">
        <f t="shared" si="39"/>
        <v>3686.1992735809658</v>
      </c>
      <c r="X61" s="100">
        <f t="shared" si="39"/>
        <v>3686.1992735809658</v>
      </c>
      <c r="Y61" s="100">
        <f t="shared" si="39"/>
        <v>3686.1992735809658</v>
      </c>
      <c r="Z61" s="100">
        <f t="shared" si="39"/>
        <v>3686.1992735809658</v>
      </c>
      <c r="AA61" s="100">
        <f t="shared" si="39"/>
        <v>3686.1992735809658</v>
      </c>
      <c r="AB61" s="100">
        <f t="shared" si="39"/>
        <v>3686.1992735809658</v>
      </c>
      <c r="AC61" s="100">
        <f t="shared" si="39"/>
        <v>3686.1992735809658</v>
      </c>
      <c r="AD61" s="100">
        <f t="shared" si="39"/>
        <v>3686.1992735809658</v>
      </c>
      <c r="AE61" s="100">
        <f t="shared" si="39"/>
        <v>3686.1992735809658</v>
      </c>
      <c r="AF61" s="100" t="e">
        <f t="shared" si="39"/>
        <v>#REF!</v>
      </c>
    </row>
    <row r="62" spans="1:32">
      <c r="A62" s="73" t="s">
        <v>55</v>
      </c>
      <c r="B62" s="101">
        <f t="shared" ref="B62" si="40">B$44/gr_per_ton*B19</f>
        <v>4.3965750253867515E-3</v>
      </c>
      <c r="C62" s="101">
        <f t="shared" ref="C62:AF62" si="41">C$44/gr_per_ton*C19</f>
        <v>4.4406323627858317E-3</v>
      </c>
      <c r="D62" s="101">
        <f t="shared" si="41"/>
        <v>4.4851311913382506E-3</v>
      </c>
      <c r="E62" s="101">
        <f t="shared" si="41"/>
        <v>4.5300759351524535E-3</v>
      </c>
      <c r="F62" s="101">
        <f t="shared" si="41"/>
        <v>4.5754710626701315E-3</v>
      </c>
      <c r="G62" s="101">
        <f t="shared" si="41"/>
        <v>4.6213210871104771E-3</v>
      </c>
      <c r="H62" s="101">
        <f t="shared" si="41"/>
        <v>4.6676305669188876E-3</v>
      </c>
      <c r="I62" s="101">
        <f t="shared" si="41"/>
        <v>4.7144041062201795E-3</v>
      </c>
      <c r="J62" s="101">
        <f t="shared" si="41"/>
        <v>4.7616463552763262E-3</v>
      </c>
      <c r="K62" s="101">
        <f t="shared" si="41"/>
        <v>4.8093620109487915E-3</v>
      </c>
      <c r="L62" s="101">
        <f t="shared" si="41"/>
        <v>4.8575558171654971E-3</v>
      </c>
      <c r="M62" s="101">
        <f t="shared" si="41"/>
        <v>4.9062325653924654E-3</v>
      </c>
      <c r="N62" s="101">
        <f t="shared" si="41"/>
        <v>4.9553970951101952E-3</v>
      </c>
      <c r="O62" s="101">
        <f t="shared" si="41"/>
        <v>5.0050542942947996E-3</v>
      </c>
      <c r="P62" s="101">
        <f t="shared" si="41"/>
        <v>5.0552090999039833E-3</v>
      </c>
      <c r="Q62" s="101">
        <f t="shared" si="41"/>
        <v>5.1058664983678666E-3</v>
      </c>
      <c r="R62" s="101">
        <f t="shared" si="41"/>
        <v>5.1570315260847472E-3</v>
      </c>
      <c r="S62" s="101">
        <f t="shared" si="41"/>
        <v>5.2087092699218199E-3</v>
      </c>
      <c r="T62" s="101">
        <f t="shared" si="41"/>
        <v>5.2609048677209353E-3</v>
      </c>
      <c r="U62" s="101">
        <f t="shared" si="41"/>
        <v>5.2609048677209353E-3</v>
      </c>
      <c r="V62" s="101">
        <f t="shared" si="41"/>
        <v>5.2609048677209353E-3</v>
      </c>
      <c r="W62" s="101">
        <f t="shared" si="41"/>
        <v>5.2609048677209353E-3</v>
      </c>
      <c r="X62" s="101">
        <f t="shared" si="41"/>
        <v>5.2609048677209353E-3</v>
      </c>
      <c r="Y62" s="101">
        <f t="shared" si="41"/>
        <v>5.2609048677209353E-3</v>
      </c>
      <c r="Z62" s="101">
        <f t="shared" si="41"/>
        <v>5.2609048677209353E-3</v>
      </c>
      <c r="AA62" s="101">
        <f t="shared" si="41"/>
        <v>5.2609048677209353E-3</v>
      </c>
      <c r="AB62" s="101">
        <f t="shared" si="41"/>
        <v>5.2609048677209353E-3</v>
      </c>
      <c r="AC62" s="101">
        <f t="shared" si="41"/>
        <v>5.2609048677209353E-3</v>
      </c>
      <c r="AD62" s="101">
        <f t="shared" si="41"/>
        <v>5.2609048677209353E-3</v>
      </c>
      <c r="AE62" s="101">
        <f t="shared" si="41"/>
        <v>5.2609048677209353E-3</v>
      </c>
      <c r="AF62" s="101" t="e">
        <f t="shared" si="41"/>
        <v>#REF!</v>
      </c>
    </row>
    <row r="63" spans="1:32">
      <c r="A63" s="8" t="s">
        <v>57</v>
      </c>
    </row>
    <row r="64" spans="1:32">
      <c r="A64" s="68" t="s">
        <v>50</v>
      </c>
    </row>
    <row r="65" spans="1:32">
      <c r="A65" s="73" t="s">
        <v>51</v>
      </c>
      <c r="B65" s="101">
        <f t="shared" ref="B65" si="42">B$46/gr_per_ton*B22</f>
        <v>1.5878961454977367</v>
      </c>
      <c r="C65" s="101">
        <f t="shared" ref="C65:AF65" si="43">C$46/gr_per_ton*C22</f>
        <v>1.5357997259792917</v>
      </c>
      <c r="D65" s="101">
        <f t="shared" si="43"/>
        <v>1.4854125095056028</v>
      </c>
      <c r="E65" s="101">
        <f t="shared" si="43"/>
        <v>1.4366784197651852</v>
      </c>
      <c r="F65" s="101">
        <f t="shared" si="43"/>
        <v>1.3895432202237044</v>
      </c>
      <c r="G65" s="101">
        <f t="shared" si="43"/>
        <v>1.3439544537637329</v>
      </c>
      <c r="H65" s="101">
        <f t="shared" si="43"/>
        <v>1.2998613843048286</v>
      </c>
      <c r="I65" s="101">
        <f t="shared" si="43"/>
        <v>1.2572149403389705</v>
      </c>
      <c r="J65" s="101">
        <f t="shared" si="43"/>
        <v>1.2159676603185097</v>
      </c>
      <c r="K65" s="101">
        <f t="shared" si="43"/>
        <v>1.1760736398358547</v>
      </c>
      <c r="L65" s="101">
        <f t="shared" si="43"/>
        <v>1.137488480536115</v>
      </c>
      <c r="M65" s="101">
        <f t="shared" si="43"/>
        <v>1.1001692407058343</v>
      </c>
      <c r="N65" s="101">
        <f t="shared" si="43"/>
        <v>1.0640743874828393</v>
      </c>
      <c r="O65" s="101">
        <f t="shared" si="43"/>
        <v>1.029163750634003</v>
      </c>
      <c r="P65" s="101">
        <f t="shared" si="43"/>
        <v>0.99539847784949131</v>
      </c>
      <c r="Q65" s="101">
        <f t="shared" si="43"/>
        <v>0.9627409915037366</v>
      </c>
      <c r="R65" s="101">
        <f t="shared" si="43"/>
        <v>0.93115494683501498</v>
      </c>
      <c r="S65" s="101">
        <f t="shared" si="43"/>
        <v>0.9006051914970884</v>
      </c>
      <c r="T65" s="101">
        <f t="shared" si="43"/>
        <v>0.87105772643789403</v>
      </c>
      <c r="U65" s="101">
        <f t="shared" si="43"/>
        <v>0.9296404711951759</v>
      </c>
      <c r="V65" s="101">
        <f t="shared" si="43"/>
        <v>0.9296404711951759</v>
      </c>
      <c r="W65" s="101">
        <f t="shared" si="43"/>
        <v>0.9296404711951759</v>
      </c>
      <c r="X65" s="101">
        <f t="shared" si="43"/>
        <v>0.9296404711951759</v>
      </c>
      <c r="Y65" s="101">
        <f t="shared" si="43"/>
        <v>0.9296404711951759</v>
      </c>
      <c r="Z65" s="101">
        <f t="shared" si="43"/>
        <v>0.9296404711951759</v>
      </c>
      <c r="AA65" s="101">
        <f t="shared" si="43"/>
        <v>0.9296404711951759</v>
      </c>
      <c r="AB65" s="101">
        <f t="shared" si="43"/>
        <v>0.9296404711951759</v>
      </c>
      <c r="AC65" s="101">
        <f t="shared" si="43"/>
        <v>0.9296404711951759</v>
      </c>
      <c r="AD65" s="101">
        <f t="shared" si="43"/>
        <v>0.9296404711951759</v>
      </c>
      <c r="AE65" s="101">
        <f t="shared" si="43"/>
        <v>0.9296404711951759</v>
      </c>
      <c r="AF65" s="101" t="e">
        <f t="shared" si="43"/>
        <v>#REF!</v>
      </c>
    </row>
    <row r="66" spans="1:32">
      <c r="A66" s="73" t="s">
        <v>52</v>
      </c>
      <c r="B66" s="101">
        <f t="shared" ref="B66" si="44">B$46/gr_per_ton*B23</f>
        <v>1.878913295433299</v>
      </c>
      <c r="C66" s="101">
        <f t="shared" ref="C66:AF66" si="45">C$46/gr_per_ton*C23</f>
        <v>1.8980927696308767</v>
      </c>
      <c r="D66" s="101">
        <f t="shared" si="45"/>
        <v>1.917468023075634</v>
      </c>
      <c r="E66" s="101">
        <f t="shared" si="45"/>
        <v>1.9370410542328698</v>
      </c>
      <c r="F66" s="101">
        <f t="shared" si="45"/>
        <v>1.9568138819677123</v>
      </c>
      <c r="G66" s="101">
        <f t="shared" si="45"/>
        <v>1.9767885457533592</v>
      </c>
      <c r="H66" s="101">
        <f t="shared" si="45"/>
        <v>1.996967105881436</v>
      </c>
      <c r="I66" s="101">
        <f t="shared" si="45"/>
        <v>2.0173516436745076</v>
      </c>
      <c r="J66" s="101">
        <f t="shared" si="45"/>
        <v>2.0379442617007557</v>
      </c>
      <c r="K66" s="101">
        <f t="shared" si="45"/>
        <v>2.0587470839908479</v>
      </c>
      <c r="L66" s="101">
        <f t="shared" si="45"/>
        <v>2.0797622562570255</v>
      </c>
      <c r="M66" s="101">
        <f t="shared" si="45"/>
        <v>2.1009919461144171</v>
      </c>
      <c r="N66" s="101">
        <f t="shared" si="45"/>
        <v>2.1224383433046228</v>
      </c>
      <c r="O66" s="101">
        <f t="shared" si="45"/>
        <v>2.1441036599215733</v>
      </c>
      <c r="P66" s="101">
        <f t="shared" si="45"/>
        <v>2.1659901306396989</v>
      </c>
      <c r="Q66" s="101">
        <f t="shared" si="45"/>
        <v>2.1881000129444237</v>
      </c>
      <c r="R66" s="101">
        <f t="shared" si="45"/>
        <v>2.2104355873650143</v>
      </c>
      <c r="S66" s="101">
        <f t="shared" si="45"/>
        <v>2.2329991577098065</v>
      </c>
      <c r="T66" s="101">
        <f t="shared" si="45"/>
        <v>2.2557930513038338</v>
      </c>
      <c r="U66" s="101">
        <f t="shared" si="45"/>
        <v>6.8705565396516519</v>
      </c>
      <c r="V66" s="101">
        <f t="shared" si="45"/>
        <v>6.8705565396516519</v>
      </c>
      <c r="W66" s="101">
        <f t="shared" si="45"/>
        <v>6.8705565396516519</v>
      </c>
      <c r="X66" s="101">
        <f t="shared" si="45"/>
        <v>6.8705565396516519</v>
      </c>
      <c r="Y66" s="101">
        <f t="shared" si="45"/>
        <v>6.8705565396516519</v>
      </c>
      <c r="Z66" s="101">
        <f t="shared" si="45"/>
        <v>6.8705565396516519</v>
      </c>
      <c r="AA66" s="101">
        <f t="shared" si="45"/>
        <v>6.8705565396516519</v>
      </c>
      <c r="AB66" s="101">
        <f t="shared" si="45"/>
        <v>6.8705565396516519</v>
      </c>
      <c r="AC66" s="101">
        <f t="shared" si="45"/>
        <v>6.8705565396516519</v>
      </c>
      <c r="AD66" s="101">
        <f t="shared" si="45"/>
        <v>6.8705565396516519</v>
      </c>
      <c r="AE66" s="101">
        <f t="shared" si="45"/>
        <v>6.8705565396516519</v>
      </c>
      <c r="AF66" s="101" t="e">
        <f t="shared" si="45"/>
        <v>#REF!</v>
      </c>
    </row>
    <row r="67" spans="1:32">
      <c r="A67" s="73" t="s">
        <v>53</v>
      </c>
      <c r="B67" s="101">
        <f t="shared" ref="B67" si="46">B$46/gr_per_ton*B24</f>
        <v>0.19341546449395902</v>
      </c>
      <c r="C67" s="101">
        <f t="shared" ref="C67:AF67" si="47">C$46/gr_per_ton*C24</f>
        <v>0.19912945390558565</v>
      </c>
      <c r="D67" s="101">
        <f t="shared" si="47"/>
        <v>0.20501224923498931</v>
      </c>
      <c r="E67" s="101">
        <f t="shared" si="47"/>
        <v>0.21106883744238714</v>
      </c>
      <c r="F67" s="101">
        <f t="shared" si="47"/>
        <v>0.2173043528156049</v>
      </c>
      <c r="G67" s="101">
        <f t="shared" si="47"/>
        <v>0.22372408132251304</v>
      </c>
      <c r="H67" s="101">
        <f t="shared" si="47"/>
        <v>0.23033346509204433</v>
      </c>
      <c r="I67" s="101">
        <f t="shared" si="47"/>
        <v>0.23713810702759294</v>
      </c>
      <c r="J67" s="101">
        <f t="shared" si="47"/>
        <v>0.24414377555670463</v>
      </c>
      <c r="K67" s="101">
        <f t="shared" si="47"/>
        <v>0.25135640952108512</v>
      </c>
      <c r="L67" s="101">
        <f t="shared" si="47"/>
        <v>0.25878212321107208</v>
      </c>
      <c r="M67" s="101">
        <f t="shared" si="47"/>
        <v>0.26642721154883786</v>
      </c>
      <c r="N67" s="101">
        <f t="shared" si="47"/>
        <v>0.27429815542471814</v>
      </c>
      <c r="O67" s="101">
        <f t="shared" si="47"/>
        <v>0.28240162719118855</v>
      </c>
      <c r="P67" s="101">
        <f t="shared" si="47"/>
        <v>0.29074449631914795</v>
      </c>
      <c r="Q67" s="101">
        <f t="shared" si="47"/>
        <v>0.29933383522130286</v>
      </c>
      <c r="R67" s="101">
        <f t="shared" si="47"/>
        <v>0.30817692524758949</v>
      </c>
      <c r="S67" s="101">
        <f t="shared" si="47"/>
        <v>0.31728126285771568</v>
      </c>
      <c r="T67" s="101">
        <f t="shared" si="47"/>
        <v>0.32665456597605586</v>
      </c>
      <c r="U67" s="101">
        <f t="shared" si="47"/>
        <v>0.77062153360673569</v>
      </c>
      <c r="V67" s="101">
        <f t="shared" si="47"/>
        <v>0.77062153360673569</v>
      </c>
      <c r="W67" s="101">
        <f t="shared" si="47"/>
        <v>0.77062153360673569</v>
      </c>
      <c r="X67" s="101">
        <f t="shared" si="47"/>
        <v>0.77062153360673569</v>
      </c>
      <c r="Y67" s="101">
        <f t="shared" si="47"/>
        <v>0.77062153360673569</v>
      </c>
      <c r="Z67" s="101">
        <f t="shared" si="47"/>
        <v>0.77062153360673569</v>
      </c>
      <c r="AA67" s="101">
        <f t="shared" si="47"/>
        <v>0.77062153360673569</v>
      </c>
      <c r="AB67" s="101">
        <f t="shared" si="47"/>
        <v>0.77062153360673569</v>
      </c>
      <c r="AC67" s="101">
        <f t="shared" si="47"/>
        <v>0.77062153360673569</v>
      </c>
      <c r="AD67" s="101">
        <f t="shared" si="47"/>
        <v>0.77062153360673569</v>
      </c>
      <c r="AE67" s="101">
        <f t="shared" si="47"/>
        <v>0.77062153360673569</v>
      </c>
      <c r="AF67" s="101" t="e">
        <f t="shared" si="47"/>
        <v>#REF!</v>
      </c>
    </row>
    <row r="68" spans="1:32">
      <c r="A68" s="73" t="s">
        <v>54</v>
      </c>
      <c r="B68" s="100">
        <f t="shared" ref="B68" si="48">B$46/gr_per_Mtonne*B25</f>
        <v>17731.09998334069</v>
      </c>
      <c r="C68" s="100">
        <f t="shared" ref="C68:AF68" si="49">C$46/gr_per_Mtonne*C25</f>
        <v>18254.922201105834</v>
      </c>
      <c r="D68" s="100">
        <f t="shared" si="49"/>
        <v>18794.219472087203</v>
      </c>
      <c r="E68" s="100">
        <f t="shared" si="49"/>
        <v>19349.448969088702</v>
      </c>
      <c r="F68" s="100">
        <f t="shared" si="49"/>
        <v>19921.081370972657</v>
      </c>
      <c r="G68" s="100">
        <f t="shared" si="49"/>
        <v>20509.601261663429</v>
      </c>
      <c r="H68" s="100">
        <f t="shared" si="49"/>
        <v>21115.507540938677</v>
      </c>
      <c r="I68" s="100">
        <f t="shared" si="49"/>
        <v>21739.313847356399</v>
      </c>
      <c r="J68" s="100">
        <f t="shared" si="49"/>
        <v>22381.548993676373</v>
      </c>
      <c r="K68" s="100">
        <f t="shared" si="49"/>
        <v>23042.757415144977</v>
      </c>
      <c r="L68" s="100">
        <f t="shared" si="49"/>
        <v>23723.499631023646</v>
      </c>
      <c r="M68" s="100">
        <f t="shared" si="49"/>
        <v>24424.352719751874</v>
      </c>
      <c r="N68" s="100">
        <f t="shared" si="49"/>
        <v>25145.910808147924</v>
      </c>
      <c r="O68" s="100">
        <f t="shared" si="49"/>
        <v>25888.785575061676</v>
      </c>
      <c r="P68" s="100">
        <f t="shared" si="49"/>
        <v>26653.606769906692</v>
      </c>
      <c r="Q68" s="100">
        <f t="shared" si="49"/>
        <v>27441.022746511095</v>
      </c>
      <c r="R68" s="100">
        <f t="shared" si="49"/>
        <v>28251.701012739733</v>
      </c>
      <c r="S68" s="100">
        <f t="shared" si="49"/>
        <v>29086.328796353573</v>
      </c>
      <c r="T68" s="100">
        <f t="shared" si="49"/>
        <v>29945.61362758611</v>
      </c>
      <c r="U68" s="100">
        <f t="shared" si="49"/>
        <v>70645.682326622569</v>
      </c>
      <c r="V68" s="100">
        <f t="shared" si="49"/>
        <v>70645.682326622569</v>
      </c>
      <c r="W68" s="100">
        <f t="shared" si="49"/>
        <v>70645.682326622569</v>
      </c>
      <c r="X68" s="100">
        <f t="shared" si="49"/>
        <v>70645.682326622569</v>
      </c>
      <c r="Y68" s="100">
        <f t="shared" si="49"/>
        <v>70645.682326622569</v>
      </c>
      <c r="Z68" s="100">
        <f t="shared" si="49"/>
        <v>70645.682326622569</v>
      </c>
      <c r="AA68" s="100">
        <f t="shared" si="49"/>
        <v>70645.682326622569</v>
      </c>
      <c r="AB68" s="100">
        <f t="shared" si="49"/>
        <v>70645.682326622569</v>
      </c>
      <c r="AC68" s="100">
        <f t="shared" si="49"/>
        <v>70645.682326622569</v>
      </c>
      <c r="AD68" s="100">
        <f t="shared" si="49"/>
        <v>70645.682326622569</v>
      </c>
      <c r="AE68" s="100">
        <f t="shared" si="49"/>
        <v>70645.682326622569</v>
      </c>
      <c r="AF68" s="100" t="e">
        <f t="shared" si="49"/>
        <v>#REF!</v>
      </c>
    </row>
    <row r="69" spans="1:32">
      <c r="A69" s="73" t="s">
        <v>55</v>
      </c>
      <c r="B69" s="101">
        <f t="shared" ref="B69" si="50">B$46/gr_per_ton*B26</f>
        <v>0.28623588741039518</v>
      </c>
      <c r="C69" s="101">
        <f t="shared" ref="C69:AF69" si="51">C$46/gr_per_ton*C26</f>
        <v>0.28385749716571823</v>
      </c>
      <c r="D69" s="101">
        <f t="shared" si="51"/>
        <v>0.28149886943302804</v>
      </c>
      <c r="E69" s="101">
        <f t="shared" si="51"/>
        <v>0.27915984000172839</v>
      </c>
      <c r="F69" s="101">
        <f t="shared" si="51"/>
        <v>0.27684024602568119</v>
      </c>
      <c r="G69" s="101">
        <f t="shared" si="51"/>
        <v>0.274539926011869</v>
      </c>
      <c r="H69" s="101">
        <f t="shared" si="51"/>
        <v>0.27225871980915145</v>
      </c>
      <c r="I69" s="101">
        <f t="shared" si="51"/>
        <v>0.26999646859711562</v>
      </c>
      <c r="J69" s="101">
        <f t="shared" si="51"/>
        <v>0.26775301487501862</v>
      </c>
      <c r="K69" s="101">
        <f t="shared" si="51"/>
        <v>0.26552820245082204</v>
      </c>
      <c r="L69" s="101">
        <f t="shared" si="51"/>
        <v>0.26332187643031801</v>
      </c>
      <c r="M69" s="101">
        <f t="shared" si="51"/>
        <v>0.2611338832063449</v>
      </c>
      <c r="N69" s="101">
        <f t="shared" si="51"/>
        <v>0.25896407044809322</v>
      </c>
      <c r="O69" s="101">
        <f t="shared" si="51"/>
        <v>0.25681228709050014</v>
      </c>
      <c r="P69" s="101">
        <f t="shared" si="51"/>
        <v>0.25467838332373216</v>
      </c>
      <c r="Q69" s="101">
        <f t="shared" si="51"/>
        <v>0.25256221058275519</v>
      </c>
      <c r="R69" s="101">
        <f t="shared" si="51"/>
        <v>0.25046362153699098</v>
      </c>
      <c r="S69" s="101">
        <f t="shared" si="51"/>
        <v>0.24838247008006017</v>
      </c>
      <c r="T69" s="101">
        <f t="shared" si="51"/>
        <v>0.24631861131961</v>
      </c>
      <c r="U69" s="101">
        <f t="shared" si="51"/>
        <v>0.2637146716211472</v>
      </c>
      <c r="V69" s="101">
        <f t="shared" si="51"/>
        <v>0.2637146716211472</v>
      </c>
      <c r="W69" s="101">
        <f t="shared" si="51"/>
        <v>0.2637146716211472</v>
      </c>
      <c r="X69" s="101">
        <f t="shared" si="51"/>
        <v>0.2637146716211472</v>
      </c>
      <c r="Y69" s="101">
        <f t="shared" si="51"/>
        <v>0.2637146716211472</v>
      </c>
      <c r="Z69" s="101">
        <f t="shared" si="51"/>
        <v>0.2637146716211472</v>
      </c>
      <c r="AA69" s="101">
        <f t="shared" si="51"/>
        <v>0.2637146716211472</v>
      </c>
      <c r="AB69" s="101">
        <f t="shared" si="51"/>
        <v>0.2637146716211472</v>
      </c>
      <c r="AC69" s="101">
        <f t="shared" si="51"/>
        <v>0.2637146716211472</v>
      </c>
      <c r="AD69" s="101">
        <f t="shared" si="51"/>
        <v>0.2637146716211472</v>
      </c>
      <c r="AE69" s="101">
        <f t="shared" si="51"/>
        <v>0.2637146716211472</v>
      </c>
      <c r="AF69" s="101" t="e">
        <f t="shared" si="51"/>
        <v>#REF!</v>
      </c>
    </row>
    <row r="70" spans="1:32">
      <c r="A70" s="68" t="s">
        <v>56</v>
      </c>
    </row>
    <row r="71" spans="1:32">
      <c r="A71" s="73" t="s">
        <v>51</v>
      </c>
      <c r="B71" s="101">
        <f t="shared" ref="B71" si="52">B$47/gr_per_ton*B28</f>
        <v>3.4331825149259129E-2</v>
      </c>
      <c r="C71" s="101">
        <f t="shared" ref="C71:AF71" si="53">C$47/gr_per_ton*C28</f>
        <v>3.5786223120975368E-2</v>
      </c>
      <c r="D71" s="101">
        <f t="shared" si="53"/>
        <v>3.7302233705797251E-2</v>
      </c>
      <c r="E71" s="101">
        <f t="shared" si="53"/>
        <v>3.8882466996813164E-2</v>
      </c>
      <c r="F71" s="101">
        <f t="shared" si="53"/>
        <v>4.0529643658398513E-2</v>
      </c>
      <c r="G71" s="101">
        <f t="shared" si="53"/>
        <v>4.2246599610343542E-2</v>
      </c>
      <c r="H71" s="101">
        <f t="shared" si="53"/>
        <v>4.4036290910414645E-2</v>
      </c>
      <c r="I71" s="101">
        <f t="shared" si="53"/>
        <v>4.5901798843755483E-2</v>
      </c>
      <c r="J71" s="101">
        <f t="shared" si="53"/>
        <v>4.7846335227890162E-2</v>
      </c>
      <c r="K71" s="101">
        <f t="shared" si="53"/>
        <v>4.9873247942462236E-2</v>
      </c>
      <c r="L71" s="101">
        <f t="shared" si="53"/>
        <v>5.1986026693229694E-2</v>
      </c>
      <c r="M71" s="101">
        <f t="shared" si="53"/>
        <v>5.4188309020239939E-2</v>
      </c>
      <c r="N71" s="101">
        <f t="shared" si="53"/>
        <v>5.6483886560528974E-2</v>
      </c>
      <c r="O71" s="101">
        <f t="shared" si="53"/>
        <v>5.8876711576126971E-2</v>
      </c>
      <c r="P71" s="101">
        <f t="shared" si="53"/>
        <v>6.1370903758609527E-2</v>
      </c>
      <c r="Q71" s="101">
        <f t="shared" si="53"/>
        <v>6.3970757321910127E-2</v>
      </c>
      <c r="R71" s="101">
        <f t="shared" si="53"/>
        <v>6.6680748395604769E-2</v>
      </c>
      <c r="S71" s="101">
        <f t="shared" si="53"/>
        <v>6.9505542731398501E-2</v>
      </c>
      <c r="T71" s="101">
        <f t="shared" si="53"/>
        <v>7.2450003736081292E-2</v>
      </c>
      <c r="U71" s="101">
        <f t="shared" si="53"/>
        <v>6.7415569779040965E-2</v>
      </c>
      <c r="V71" s="101">
        <f t="shared" si="53"/>
        <v>6.7415569779040965E-2</v>
      </c>
      <c r="W71" s="101">
        <f t="shared" si="53"/>
        <v>6.7415569779040965E-2</v>
      </c>
      <c r="X71" s="101">
        <f t="shared" si="53"/>
        <v>6.7415569779040965E-2</v>
      </c>
      <c r="Y71" s="101">
        <f t="shared" si="53"/>
        <v>6.7415569779040965E-2</v>
      </c>
      <c r="Z71" s="101">
        <f t="shared" si="53"/>
        <v>6.7415569779040965E-2</v>
      </c>
      <c r="AA71" s="101">
        <f t="shared" si="53"/>
        <v>6.7415569779040965E-2</v>
      </c>
      <c r="AB71" s="101">
        <f t="shared" si="53"/>
        <v>6.7415569779040965E-2</v>
      </c>
      <c r="AC71" s="101">
        <f t="shared" si="53"/>
        <v>6.7415569779040965E-2</v>
      </c>
      <c r="AD71" s="101">
        <f t="shared" si="53"/>
        <v>6.7415569779040965E-2</v>
      </c>
      <c r="AE71" s="101">
        <f t="shared" si="53"/>
        <v>6.7415569779040965E-2</v>
      </c>
      <c r="AF71" s="101" t="e">
        <f t="shared" si="53"/>
        <v>#REF!</v>
      </c>
    </row>
    <row r="72" spans="1:32">
      <c r="A72" s="73" t="s">
        <v>52</v>
      </c>
      <c r="B72" s="101">
        <f t="shared" ref="B72" si="54">B$47/gr_per_ton*B29</f>
        <v>3.607264457954062</v>
      </c>
      <c r="C72" s="101">
        <f t="shared" ref="C72:AF72" si="55">C$47/gr_per_ton*C29</f>
        <v>3.7688090806943078</v>
      </c>
      <c r="D72" s="101">
        <f t="shared" si="55"/>
        <v>3.9375881786000049</v>
      </c>
      <c r="E72" s="101">
        <f t="shared" si="55"/>
        <v>4.1139257341722866</v>
      </c>
      <c r="F72" s="101">
        <f t="shared" si="55"/>
        <v>4.2981602388654032</v>
      </c>
      <c r="G72" s="101">
        <f t="shared" si="55"/>
        <v>4.4906453428431812</v>
      </c>
      <c r="H72" s="101">
        <f t="shared" si="55"/>
        <v>4.691750533833611</v>
      </c>
      <c r="I72" s="101">
        <f t="shared" si="55"/>
        <v>4.9018618463846657</v>
      </c>
      <c r="J72" s="101">
        <f t="shared" si="55"/>
        <v>5.1213826028828286</v>
      </c>
      <c r="K72" s="101">
        <f t="shared" si="55"/>
        <v>5.3507341877567587</v>
      </c>
      <c r="L72" s="101">
        <f t="shared" si="55"/>
        <v>5.5903568563522175</v>
      </c>
      <c r="M72" s="101">
        <f t="shared" si="55"/>
        <v>5.8407105800309553</v>
      </c>
      <c r="N72" s="101">
        <f t="shared" si="55"/>
        <v>6.1022759291157866</v>
      </c>
      <c r="O72" s="101">
        <f t="shared" si="55"/>
        <v>6.3755549953767074</v>
      </c>
      <c r="P72" s="101">
        <f t="shared" si="55"/>
        <v>6.6610723558288329</v>
      </c>
      <c r="Q72" s="101">
        <f t="shared" si="55"/>
        <v>6.9593760796922499</v>
      </c>
      <c r="R72" s="101">
        <f t="shared" si="55"/>
        <v>7.2710387804466645</v>
      </c>
      <c r="S72" s="101">
        <f t="shared" si="55"/>
        <v>7.5966587150003821</v>
      </c>
      <c r="T72" s="101">
        <f t="shared" si="55"/>
        <v>7.9368609320835128</v>
      </c>
      <c r="U72" s="101">
        <f t="shared" si="55"/>
        <v>12.772386507521283</v>
      </c>
      <c r="V72" s="101">
        <f t="shared" si="55"/>
        <v>12.772386507521283</v>
      </c>
      <c r="W72" s="101">
        <f t="shared" si="55"/>
        <v>12.772386507521283</v>
      </c>
      <c r="X72" s="101">
        <f t="shared" si="55"/>
        <v>12.772386507521283</v>
      </c>
      <c r="Y72" s="101">
        <f t="shared" si="55"/>
        <v>12.772386507521283</v>
      </c>
      <c r="Z72" s="101">
        <f t="shared" si="55"/>
        <v>12.772386507521283</v>
      </c>
      <c r="AA72" s="101">
        <f t="shared" si="55"/>
        <v>12.772386507521283</v>
      </c>
      <c r="AB72" s="101">
        <f t="shared" si="55"/>
        <v>12.772386507521283</v>
      </c>
      <c r="AC72" s="101">
        <f t="shared" si="55"/>
        <v>12.772386507521283</v>
      </c>
      <c r="AD72" s="101">
        <f t="shared" si="55"/>
        <v>12.772386507521283</v>
      </c>
      <c r="AE72" s="101">
        <f t="shared" si="55"/>
        <v>12.772386507521283</v>
      </c>
      <c r="AF72" s="101" t="e">
        <f t="shared" si="55"/>
        <v>#REF!</v>
      </c>
    </row>
    <row r="73" spans="1:32">
      <c r="A73" s="73" t="s">
        <v>53</v>
      </c>
      <c r="B73" s="101">
        <f t="shared" ref="B73" si="56">B$47/gr_per_ton*B30</f>
        <v>1.7680015433380627E-2</v>
      </c>
      <c r="C73" s="101">
        <f t="shared" ref="C73:AF73" si="57">C$47/gr_per_ton*C30</f>
        <v>1.8239621696646145E-2</v>
      </c>
      <c r="D73" s="101">
        <f t="shared" si="57"/>
        <v>1.8816940567180925E-2</v>
      </c>
      <c r="E73" s="101">
        <f t="shared" si="57"/>
        <v>1.9412532682842105E-2</v>
      </c>
      <c r="F73" s="101">
        <f t="shared" si="57"/>
        <v>2.0026976426746002E-2</v>
      </c>
      <c r="G73" s="101">
        <f t="shared" si="57"/>
        <v>2.0660868488939468E-2</v>
      </c>
      <c r="H73" s="101">
        <f t="shared" si="57"/>
        <v>2.1314824445849225E-2</v>
      </c>
      <c r="I73" s="101">
        <f t="shared" si="57"/>
        <v>2.198947935807186E-2</v>
      </c>
      <c r="J73" s="101">
        <f t="shared" si="57"/>
        <v>2.268548838708501E-2</v>
      </c>
      <c r="K73" s="101">
        <f t="shared" si="57"/>
        <v>2.340352743147868E-2</v>
      </c>
      <c r="L73" s="101">
        <f t="shared" si="57"/>
        <v>2.4144293783324427E-2</v>
      </c>
      <c r="M73" s="101">
        <f t="shared" si="57"/>
        <v>2.4908506805319936E-2</v>
      </c>
      <c r="N73" s="101">
        <f t="shared" si="57"/>
        <v>2.5696908629366504E-2</v>
      </c>
      <c r="O73" s="101">
        <f t="shared" si="57"/>
        <v>2.6510264877257834E-2</v>
      </c>
      <c r="P73" s="101">
        <f t="shared" si="57"/>
        <v>2.7349365404179971E-2</v>
      </c>
      <c r="Q73" s="101">
        <f t="shared" si="57"/>
        <v>2.8215025065744533E-2</v>
      </c>
      <c r="R73" s="101">
        <f t="shared" si="57"/>
        <v>2.9108084509299845E-2</v>
      </c>
      <c r="S73" s="101">
        <f t="shared" si="57"/>
        <v>3.0029410990288753E-2</v>
      </c>
      <c r="T73" s="101">
        <f t="shared" si="57"/>
        <v>3.0979899214445605E-2</v>
      </c>
      <c r="U73" s="101">
        <f t="shared" si="57"/>
        <v>7.5106807505337714E-2</v>
      </c>
      <c r="V73" s="101">
        <f t="shared" si="57"/>
        <v>7.5106807505337714E-2</v>
      </c>
      <c r="W73" s="101">
        <f t="shared" si="57"/>
        <v>7.5106807505337714E-2</v>
      </c>
      <c r="X73" s="101">
        <f t="shared" si="57"/>
        <v>7.5106807505337714E-2</v>
      </c>
      <c r="Y73" s="101">
        <f t="shared" si="57"/>
        <v>7.5106807505337714E-2</v>
      </c>
      <c r="Z73" s="101">
        <f t="shared" si="57"/>
        <v>7.5106807505337714E-2</v>
      </c>
      <c r="AA73" s="101">
        <f t="shared" si="57"/>
        <v>7.5106807505337714E-2</v>
      </c>
      <c r="AB73" s="101">
        <f t="shared" si="57"/>
        <v>7.5106807505337714E-2</v>
      </c>
      <c r="AC73" s="101">
        <f t="shared" si="57"/>
        <v>7.5106807505337714E-2</v>
      </c>
      <c r="AD73" s="101">
        <f t="shared" si="57"/>
        <v>7.5106807505337714E-2</v>
      </c>
      <c r="AE73" s="101">
        <f t="shared" si="57"/>
        <v>7.5106807505337714E-2</v>
      </c>
      <c r="AF73" s="101" t="e">
        <f t="shared" si="57"/>
        <v>#REF!</v>
      </c>
    </row>
    <row r="74" spans="1:32">
      <c r="A74" s="73" t="s">
        <v>54</v>
      </c>
      <c r="B74" s="100">
        <f t="shared" ref="B74" si="58">B$47/gr_per_Mtonne*B31</f>
        <v>1697.7017992037102</v>
      </c>
      <c r="C74" s="100">
        <f t="shared" ref="C74:AF74" si="59">C$47/gr_per_Mtonne*C31</f>
        <v>1751.4373043321627</v>
      </c>
      <c r="D74" s="100">
        <f t="shared" si="59"/>
        <v>1806.8736408508889</v>
      </c>
      <c r="E74" s="100">
        <f t="shared" si="59"/>
        <v>1864.0646433225531</v>
      </c>
      <c r="F74" s="100">
        <f t="shared" si="59"/>
        <v>1923.0658502765707</v>
      </c>
      <c r="G74" s="100">
        <f t="shared" si="59"/>
        <v>1983.9345581429093</v>
      </c>
      <c r="H74" s="100">
        <f t="shared" si="59"/>
        <v>2046.7298768930018</v>
      </c>
      <c r="I74" s="100">
        <f t="shared" si="59"/>
        <v>2111.5127874417958</v>
      </c>
      <c r="J74" s="100">
        <f t="shared" si="59"/>
        <v>2178.3462008666916</v>
      </c>
      <c r="K74" s="100">
        <f t="shared" si="59"/>
        <v>2247.2950195008716</v>
      </c>
      <c r="L74" s="100">
        <f t="shared" si="59"/>
        <v>2318.4261999603468</v>
      </c>
      <c r="M74" s="100">
        <f t="shared" si="59"/>
        <v>2391.8088181659355</v>
      </c>
      <c r="N74" s="100">
        <f t="shared" si="59"/>
        <v>2467.5141364233095</v>
      </c>
      <c r="O74" s="100">
        <f t="shared" si="59"/>
        <v>2545.6156726262493</v>
      </c>
      <c r="P74" s="100">
        <f t="shared" si="59"/>
        <v>2626.1892716503153</v>
      </c>
      <c r="Q74" s="100">
        <f t="shared" si="59"/>
        <v>2709.3131790062735</v>
      </c>
      <c r="R74" s="100">
        <f t="shared" si="59"/>
        <v>2795.068116824777</v>
      </c>
      <c r="S74" s="100">
        <f t="shared" si="59"/>
        <v>2883.5373622461216</v>
      </c>
      <c r="T74" s="100">
        <f t="shared" si="59"/>
        <v>2974.8068282911827</v>
      </c>
      <c r="U74" s="100">
        <f t="shared" si="59"/>
        <v>7212.0390796445008</v>
      </c>
      <c r="V74" s="100">
        <f t="shared" si="59"/>
        <v>7212.0390796445008</v>
      </c>
      <c r="W74" s="100">
        <f t="shared" si="59"/>
        <v>7212.0390796445008</v>
      </c>
      <c r="X74" s="100">
        <f t="shared" si="59"/>
        <v>7212.0390796445008</v>
      </c>
      <c r="Y74" s="100">
        <f t="shared" si="59"/>
        <v>7212.0390796445008</v>
      </c>
      <c r="Z74" s="100">
        <f t="shared" si="59"/>
        <v>7212.0390796445008</v>
      </c>
      <c r="AA74" s="100">
        <f t="shared" si="59"/>
        <v>7212.0390796445008</v>
      </c>
      <c r="AB74" s="100">
        <f t="shared" si="59"/>
        <v>7212.0390796445008</v>
      </c>
      <c r="AC74" s="100">
        <f t="shared" si="59"/>
        <v>7212.0390796445008</v>
      </c>
      <c r="AD74" s="100">
        <f t="shared" si="59"/>
        <v>7212.0390796445008</v>
      </c>
      <c r="AE74" s="100">
        <f t="shared" si="59"/>
        <v>7212.0390796445008</v>
      </c>
      <c r="AF74" s="100" t="e">
        <f t="shared" si="59"/>
        <v>#REF!</v>
      </c>
    </row>
    <row r="75" spans="1:32">
      <c r="A75" s="73" t="s">
        <v>55</v>
      </c>
      <c r="B75" s="101">
        <f t="shared" ref="B75" si="60">B$47/gr_per_ton*B32</f>
        <v>2.0752067100198307E-3</v>
      </c>
      <c r="C75" s="101">
        <f t="shared" ref="C75:AF75" si="61">C$47/gr_per_ton*C32</f>
        <v>2.159396639180106E-3</v>
      </c>
      <c r="D75" s="101">
        <f t="shared" si="61"/>
        <v>2.2470021047964793E-3</v>
      </c>
      <c r="E75" s="101">
        <f t="shared" si="61"/>
        <v>2.338161673196293E-3</v>
      </c>
      <c r="F75" s="101">
        <f t="shared" si="61"/>
        <v>2.4330195322621912E-3</v>
      </c>
      <c r="G75" s="101">
        <f t="shared" si="61"/>
        <v>2.5317257194953477E-3</v>
      </c>
      <c r="H75" s="101">
        <f t="shared" si="61"/>
        <v>2.6344363593310896E-3</v>
      </c>
      <c r="I75" s="101">
        <f t="shared" si="61"/>
        <v>2.7413139100822717E-3</v>
      </c>
      <c r="J75" s="101">
        <f t="shared" si="61"/>
        <v>2.8525274209010073E-3</v>
      </c>
      <c r="K75" s="101">
        <f t="shared" si="61"/>
        <v>2.9682527991651826E-3</v>
      </c>
      <c r="L75" s="101">
        <f t="shared" si="61"/>
        <v>3.0886730887126849E-3</v>
      </c>
      <c r="M75" s="101">
        <f t="shared" si="61"/>
        <v>3.2139787593634343E-3</v>
      </c>
      <c r="N75" s="101">
        <f t="shared" si="61"/>
        <v>3.3443680081871579E-3</v>
      </c>
      <c r="O75" s="101">
        <f t="shared" si="61"/>
        <v>3.4800470729934195E-3</v>
      </c>
      <c r="P75" s="101">
        <f t="shared" si="61"/>
        <v>3.6212305585397518E-3</v>
      </c>
      <c r="Q75" s="101">
        <f t="shared" si="61"/>
        <v>3.7681417759738811E-3</v>
      </c>
      <c r="R75" s="101">
        <f t="shared" si="61"/>
        <v>3.9210130960468988E-3</v>
      </c>
      <c r="S75" s="101">
        <f t="shared" si="61"/>
        <v>4.0800863166561103E-3</v>
      </c>
      <c r="T75" s="101">
        <f t="shared" si="61"/>
        <v>4.2456130452988676E-3</v>
      </c>
      <c r="U75" s="101">
        <f t="shared" si="61"/>
        <v>1.1999215973906872E-2</v>
      </c>
      <c r="V75" s="101">
        <f t="shared" si="61"/>
        <v>1.1999215973906872E-2</v>
      </c>
      <c r="W75" s="101">
        <f t="shared" si="61"/>
        <v>1.1999215973906872E-2</v>
      </c>
      <c r="X75" s="101">
        <f t="shared" si="61"/>
        <v>1.1999215973906872E-2</v>
      </c>
      <c r="Y75" s="101">
        <f t="shared" si="61"/>
        <v>1.1999215973906872E-2</v>
      </c>
      <c r="Z75" s="101">
        <f t="shared" si="61"/>
        <v>1.1999215973906872E-2</v>
      </c>
      <c r="AA75" s="101">
        <f t="shared" si="61"/>
        <v>1.1999215973906872E-2</v>
      </c>
      <c r="AB75" s="101">
        <f t="shared" si="61"/>
        <v>1.1999215973906872E-2</v>
      </c>
      <c r="AC75" s="101">
        <f t="shared" si="61"/>
        <v>1.1999215973906872E-2</v>
      </c>
      <c r="AD75" s="101">
        <f t="shared" si="61"/>
        <v>1.1999215973906872E-2</v>
      </c>
      <c r="AE75" s="101">
        <f t="shared" si="61"/>
        <v>1.1999215973906872E-2</v>
      </c>
      <c r="AF75" s="101" t="e">
        <f t="shared" si="61"/>
        <v>#REF!</v>
      </c>
    </row>
    <row r="80" spans="1:32">
      <c r="A80" s="68" t="s">
        <v>50</v>
      </c>
      <c r="B80" s="68"/>
      <c r="C80" s="75"/>
    </row>
    <row r="81" spans="1:4">
      <c r="A81" s="73" t="s">
        <v>51</v>
      </c>
      <c r="B81" s="381">
        <v>0.22127568214669652</v>
      </c>
      <c r="C81" s="381">
        <v>6.1194825177227498E-2</v>
      </c>
      <c r="D81" t="s">
        <v>352</v>
      </c>
    </row>
    <row r="82" spans="1:4">
      <c r="A82" s="73" t="s">
        <v>52</v>
      </c>
      <c r="B82" s="381">
        <v>0.27347431131358851</v>
      </c>
      <c r="C82" s="381">
        <v>0.15847728252759499</v>
      </c>
    </row>
    <row r="83" spans="1:4">
      <c r="A83" s="73" t="s">
        <v>53</v>
      </c>
      <c r="B83" s="381">
        <v>2.8690268010278151E-2</v>
      </c>
      <c r="C83" s="381">
        <v>2.2948615747883053E-2</v>
      </c>
    </row>
    <row r="84" spans="1:4">
      <c r="A84" s="73" t="s">
        <v>54</v>
      </c>
      <c r="B84" s="272">
        <v>2899.2337270531998</v>
      </c>
      <c r="C84" s="272">
        <v>2319.0233267117401</v>
      </c>
    </row>
    <row r="85" spans="1:4">
      <c r="A85" s="73" t="s">
        <v>55</v>
      </c>
      <c r="B85" s="381">
        <v>4.0897755257605251E-2</v>
      </c>
      <c r="C85" s="381">
        <v>1.730473641424695E-2</v>
      </c>
    </row>
    <row r="86" spans="1:4">
      <c r="A86" s="68" t="s">
        <v>56</v>
      </c>
      <c r="B86" s="382"/>
      <c r="C86" s="382"/>
    </row>
    <row r="87" spans="1:4">
      <c r="A87" s="73" t="s">
        <v>51</v>
      </c>
      <c r="B87" s="381">
        <v>0.21044997742066698</v>
      </c>
      <c r="C87" s="381">
        <v>0.20774954863067402</v>
      </c>
    </row>
    <row r="88" spans="1:4">
      <c r="A88" s="73" t="s">
        <v>52</v>
      </c>
      <c r="B88" s="381">
        <v>22.163439356360449</v>
      </c>
      <c r="C88" s="381">
        <v>22.75885702078455</v>
      </c>
    </row>
    <row r="89" spans="1:4">
      <c r="A89" s="73" t="s">
        <v>53</v>
      </c>
      <c r="B89" s="381">
        <v>0.10726272960531601</v>
      </c>
      <c r="C89" s="381">
        <v>8.8834503057721503E-2</v>
      </c>
    </row>
    <row r="90" spans="1:4">
      <c r="A90" s="73" t="s">
        <v>54</v>
      </c>
      <c r="B90" s="272">
        <v>11353.551991317549</v>
      </c>
      <c r="C90" s="272">
        <v>9402.9599358500509</v>
      </c>
    </row>
    <row r="91" spans="1:4">
      <c r="A91" s="73" t="s">
        <v>55</v>
      </c>
      <c r="B91" s="381">
        <v>1.2698880583778448E-2</v>
      </c>
      <c r="C91" s="381">
        <v>1.21742463538629E-2</v>
      </c>
    </row>
    <row r="92" spans="1:4">
      <c r="C92" s="12"/>
    </row>
    <row r="93" spans="1:4">
      <c r="C93" s="12"/>
    </row>
    <row r="94" spans="1:4">
      <c r="C94" s="12"/>
    </row>
    <row r="95" spans="1:4">
      <c r="C95" s="12"/>
    </row>
    <row r="96" spans="1:4">
      <c r="C96" s="12"/>
    </row>
    <row r="97" spans="3:3">
      <c r="C97" s="12"/>
    </row>
    <row r="98" spans="3:3">
      <c r="C98" s="12"/>
    </row>
    <row r="99" spans="3:3">
      <c r="C99" s="12"/>
    </row>
    <row r="100" spans="3:3">
      <c r="C100" s="12"/>
    </row>
    <row r="101" spans="3:3">
      <c r="C101" s="12"/>
    </row>
    <row r="102" spans="3:3">
      <c r="C102" s="12"/>
    </row>
    <row r="103" spans="3:3">
      <c r="C103" s="12"/>
    </row>
    <row r="104" spans="3:3">
      <c r="C104" s="12"/>
    </row>
    <row r="105" spans="3:3">
      <c r="C105" s="12"/>
    </row>
    <row r="106" spans="3:3">
      <c r="C106" s="12"/>
    </row>
  </sheetData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16355-DD71-4D84-8B56-9F7A5CED2D2F}">
  <dimension ref="A1:I14"/>
  <sheetViews>
    <sheetView workbookViewId="0">
      <selection activeCell="A2" sqref="A2"/>
    </sheetView>
  </sheetViews>
  <sheetFormatPr defaultRowHeight="14.4"/>
  <sheetData>
    <row r="1" spans="1:9">
      <c r="A1" s="7" t="s">
        <v>395</v>
      </c>
    </row>
    <row r="2" spans="1:9">
      <c r="A2" s="8" t="s">
        <v>399</v>
      </c>
    </row>
    <row r="4" spans="1:9">
      <c r="A4" t="s">
        <v>72</v>
      </c>
      <c r="G4" s="72" t="s">
        <v>73</v>
      </c>
    </row>
    <row r="5" spans="1:9">
      <c r="A5" t="s">
        <v>67</v>
      </c>
    </row>
    <row r="6" spans="1:9">
      <c r="A6" t="s">
        <v>68</v>
      </c>
    </row>
    <row r="7" spans="1:9">
      <c r="A7" t="s">
        <v>69</v>
      </c>
    </row>
    <row r="8" spans="1:9">
      <c r="A8" t="s">
        <v>70</v>
      </c>
    </row>
    <row r="9" spans="1:9">
      <c r="A9" t="s">
        <v>71</v>
      </c>
    </row>
    <row r="11" spans="1:9">
      <c r="A11" t="s">
        <v>58</v>
      </c>
      <c r="B11" t="s">
        <v>59</v>
      </c>
      <c r="C11" t="s">
        <v>60</v>
      </c>
      <c r="D11" t="s">
        <v>61</v>
      </c>
      <c r="E11" t="s">
        <v>62</v>
      </c>
      <c r="F11" t="s">
        <v>63</v>
      </c>
      <c r="G11" t="s">
        <v>64</v>
      </c>
      <c r="H11" t="s">
        <v>65</v>
      </c>
      <c r="I11" t="s">
        <v>66</v>
      </c>
    </row>
    <row r="12" spans="1:9">
      <c r="A12" s="77">
        <v>107.233</v>
      </c>
      <c r="B12" s="77">
        <v>107.553</v>
      </c>
      <c r="C12" s="77">
        <v>108.134</v>
      </c>
      <c r="D12" s="77">
        <v>108.807</v>
      </c>
      <c r="E12" s="77">
        <v>109.348</v>
      </c>
      <c r="F12" s="77">
        <v>110.172</v>
      </c>
      <c r="G12" s="77">
        <v>110.669</v>
      </c>
      <c r="H12" s="77">
        <v>111.134</v>
      </c>
      <c r="I12" s="77">
        <v>111.345</v>
      </c>
    </row>
    <row r="13" spans="1:9">
      <c r="E13" s="21">
        <f>E12/$A$12-1</f>
        <v>1.9723406041050717E-2</v>
      </c>
      <c r="I13" s="21">
        <f>I12/$A$12-1</f>
        <v>3.8346404558298186E-2</v>
      </c>
    </row>
    <row r="14" spans="1:9">
      <c r="E14" s="78" t="s">
        <v>74</v>
      </c>
      <c r="F14" s="78"/>
      <c r="G14" s="78"/>
      <c r="H14" s="78"/>
      <c r="I14" s="78" t="s">
        <v>75</v>
      </c>
    </row>
  </sheetData>
  <hyperlinks>
    <hyperlink ref="G4" r:id="rId1" location="reqid=19&amp;step=2&amp;isuri=1&amp;1921=survey" display="https://apps.bea.gov/iTable/iTable.cfm?reqid=19&amp;step=2 - reqid=19&amp;step=2&amp;isuri=1&amp;1921=survey" xr:uid="{34B77CCC-A3E4-455A-8E92-2EB650CB31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166"/>
  <sheetViews>
    <sheetView zoomScale="80" zoomScaleNormal="80" workbookViewId="0">
      <pane xSplit="1" ySplit="5" topLeftCell="B94" activePane="bottomRight" state="frozen"/>
      <selection pane="topRight" activeCell="B1" sqref="B1"/>
      <selection pane="bottomLeft" activeCell="A6" sqref="A6"/>
      <selection pane="bottomRight" activeCell="A69" sqref="A69"/>
    </sheetView>
  </sheetViews>
  <sheetFormatPr defaultRowHeight="14.4"/>
  <cols>
    <col min="1" max="1" width="42.6640625" customWidth="1"/>
    <col min="2" max="2" width="12.5546875" customWidth="1"/>
    <col min="3" max="3" width="16.5546875" customWidth="1"/>
    <col min="4" max="4" width="2.109375" customWidth="1"/>
    <col min="5" max="5" width="11.5546875" customWidth="1"/>
    <col min="6" max="6" width="13.109375" customWidth="1"/>
    <col min="7" max="7" width="13" customWidth="1"/>
    <col min="8" max="8" width="13.33203125" customWidth="1"/>
    <col min="9" max="9" width="15.6640625" customWidth="1"/>
    <col min="10" max="10" width="16.88671875" customWidth="1"/>
    <col min="11" max="27" width="15" customWidth="1"/>
    <col min="28" max="28" width="15.44140625" customWidth="1"/>
    <col min="29" max="29" width="15" customWidth="1"/>
    <col min="30" max="40" width="15.5546875" customWidth="1"/>
    <col min="41" max="41" width="15.5546875" style="26" customWidth="1"/>
    <col min="42" max="46" width="9.109375" customWidth="1"/>
  </cols>
  <sheetData>
    <row r="1" spans="1:41">
      <c r="A1" s="7" t="s">
        <v>395</v>
      </c>
    </row>
    <row r="2" spans="1:41">
      <c r="A2" s="8" t="s">
        <v>396</v>
      </c>
    </row>
    <row r="3" spans="1:41">
      <c r="B3" s="11"/>
      <c r="C3" s="39"/>
      <c r="D3" s="39"/>
      <c r="E3" s="58"/>
      <c r="F3" s="59"/>
      <c r="G3" s="419" t="s">
        <v>34</v>
      </c>
      <c r="H3" s="420"/>
      <c r="I3" s="421"/>
      <c r="J3" s="419" t="s">
        <v>10</v>
      </c>
      <c r="K3" s="420"/>
      <c r="L3" s="58" t="s">
        <v>11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60"/>
    </row>
    <row r="4" spans="1:41">
      <c r="C4" s="39"/>
      <c r="D4" s="39"/>
      <c r="E4" s="39"/>
      <c r="F4" s="39"/>
      <c r="G4" s="39">
        <v>1</v>
      </c>
      <c r="H4" s="39">
        <v>2</v>
      </c>
      <c r="I4" s="39">
        <v>3</v>
      </c>
      <c r="J4" s="39">
        <v>1</v>
      </c>
      <c r="K4" s="39">
        <v>2</v>
      </c>
      <c r="L4" s="39">
        <v>1</v>
      </c>
      <c r="M4" s="39">
        <f>L4+1</f>
        <v>2</v>
      </c>
      <c r="N4" s="39">
        <f t="shared" ref="N4:AD4" si="0">M4+1</f>
        <v>3</v>
      </c>
      <c r="O4" s="39">
        <f t="shared" si="0"/>
        <v>4</v>
      </c>
      <c r="P4" s="39">
        <f t="shared" si="0"/>
        <v>5</v>
      </c>
      <c r="Q4" s="39">
        <f t="shared" si="0"/>
        <v>6</v>
      </c>
      <c r="R4" s="39">
        <f t="shared" si="0"/>
        <v>7</v>
      </c>
      <c r="S4" s="39">
        <f t="shared" si="0"/>
        <v>8</v>
      </c>
      <c r="T4" s="39">
        <f t="shared" si="0"/>
        <v>9</v>
      </c>
      <c r="U4" s="39">
        <f t="shared" si="0"/>
        <v>10</v>
      </c>
      <c r="V4" s="39">
        <f t="shared" si="0"/>
        <v>11</v>
      </c>
      <c r="W4" s="39">
        <f t="shared" si="0"/>
        <v>12</v>
      </c>
      <c r="X4" s="39">
        <f t="shared" si="0"/>
        <v>13</v>
      </c>
      <c r="Y4" s="39">
        <f t="shared" si="0"/>
        <v>14</v>
      </c>
      <c r="Z4" s="39">
        <f t="shared" si="0"/>
        <v>15</v>
      </c>
      <c r="AA4" s="39">
        <f t="shared" si="0"/>
        <v>16</v>
      </c>
      <c r="AB4" s="39">
        <f t="shared" si="0"/>
        <v>17</v>
      </c>
      <c r="AC4" s="39">
        <f t="shared" si="0"/>
        <v>18</v>
      </c>
      <c r="AD4" s="39">
        <f t="shared" si="0"/>
        <v>19</v>
      </c>
      <c r="AE4" s="39">
        <f t="shared" ref="AE4" si="1">AD4+1</f>
        <v>20</v>
      </c>
      <c r="AF4" s="39">
        <f t="shared" ref="AF4" si="2">AE4+1</f>
        <v>21</v>
      </c>
      <c r="AG4" s="39">
        <f t="shared" ref="AG4" si="3">AF4+1</f>
        <v>22</v>
      </c>
      <c r="AH4" s="39">
        <f t="shared" ref="AH4" si="4">AG4+1</f>
        <v>23</v>
      </c>
      <c r="AI4" s="39">
        <f t="shared" ref="AI4" si="5">AH4+1</f>
        <v>24</v>
      </c>
      <c r="AJ4" s="39">
        <f t="shared" ref="AJ4" si="6">AI4+1</f>
        <v>25</v>
      </c>
      <c r="AK4" s="39">
        <f t="shared" ref="AK4" si="7">AJ4+1</f>
        <v>26</v>
      </c>
      <c r="AL4" s="39">
        <f t="shared" ref="AL4" si="8">AK4+1</f>
        <v>27</v>
      </c>
      <c r="AM4" s="39">
        <f t="shared" ref="AM4" si="9">AL4+1</f>
        <v>28</v>
      </c>
      <c r="AN4" s="39">
        <f t="shared" ref="AN4" si="10">AM4+1</f>
        <v>29</v>
      </c>
      <c r="AO4" s="61">
        <f t="shared" ref="AO4" si="11">AN4+1</f>
        <v>30</v>
      </c>
    </row>
    <row r="5" spans="1:41">
      <c r="B5" s="8"/>
      <c r="C5" s="40" t="s">
        <v>327</v>
      </c>
      <c r="D5" s="39"/>
      <c r="E5" s="40">
        <v>2017</v>
      </c>
      <c r="F5" s="40">
        <v>2018</v>
      </c>
      <c r="G5" s="40">
        <v>2019</v>
      </c>
      <c r="H5" s="40">
        <v>2020</v>
      </c>
      <c r="I5" s="40">
        <v>2021</v>
      </c>
      <c r="J5" s="40">
        <v>2022</v>
      </c>
      <c r="K5" s="40">
        <v>2023</v>
      </c>
      <c r="L5" s="40">
        <v>2024</v>
      </c>
      <c r="M5" s="40">
        <v>2025</v>
      </c>
      <c r="N5" s="40">
        <v>2026</v>
      </c>
      <c r="O5" s="40">
        <v>2027</v>
      </c>
      <c r="P5" s="40">
        <v>2028</v>
      </c>
      <c r="Q5" s="40">
        <v>2029</v>
      </c>
      <c r="R5" s="40">
        <v>2030</v>
      </c>
      <c r="S5" s="40">
        <v>2031</v>
      </c>
      <c r="T5" s="40">
        <v>2032</v>
      </c>
      <c r="U5" s="40">
        <v>2033</v>
      </c>
      <c r="V5" s="40">
        <v>2034</v>
      </c>
      <c r="W5" s="40">
        <v>2035</v>
      </c>
      <c r="X5" s="40">
        <v>2036</v>
      </c>
      <c r="Y5" s="40">
        <v>2037</v>
      </c>
      <c r="Z5" s="40">
        <v>2038</v>
      </c>
      <c r="AA5" s="40">
        <v>2039</v>
      </c>
      <c r="AB5" s="40">
        <v>2040</v>
      </c>
      <c r="AC5" s="40">
        <v>2041</v>
      </c>
      <c r="AD5" s="40">
        <v>2042</v>
      </c>
      <c r="AE5" s="40">
        <v>2043</v>
      </c>
      <c r="AF5" s="40">
        <v>2044</v>
      </c>
      <c r="AG5" s="40">
        <v>2045</v>
      </c>
      <c r="AH5" s="40">
        <v>2046</v>
      </c>
      <c r="AI5" s="40">
        <v>2047</v>
      </c>
      <c r="AJ5" s="40">
        <v>2048</v>
      </c>
      <c r="AK5" s="40">
        <v>2049</v>
      </c>
      <c r="AL5" s="40">
        <v>2050</v>
      </c>
      <c r="AM5" s="40">
        <v>2051</v>
      </c>
      <c r="AN5" s="40">
        <v>2052</v>
      </c>
      <c r="AO5" s="62">
        <v>2053</v>
      </c>
    </row>
    <row r="6" spans="1:41">
      <c r="A6" s="8" t="s">
        <v>358</v>
      </c>
      <c r="C6" s="13"/>
    </row>
    <row r="7" spans="1:41">
      <c r="A7" s="102" t="s">
        <v>178</v>
      </c>
      <c r="C7" s="13"/>
    </row>
    <row r="8" spans="1:41" s="49" customFormat="1">
      <c r="A8" s="338" t="s">
        <v>32</v>
      </c>
      <c r="C8" s="340">
        <f>ROUND(G8+NPV(Assumptions!$B$4,H8:AO8),-3)</f>
        <v>12902000</v>
      </c>
      <c r="E8" s="49">
        <f>(Assumptions!K20-Assumptions!K21)/4</f>
        <v>0</v>
      </c>
      <c r="F8" s="49">
        <f>E8</f>
        <v>0</v>
      </c>
      <c r="G8" s="49">
        <f>Assumptions!$B$10*Assumptions!$B$15</f>
        <v>5476000</v>
      </c>
      <c r="H8" s="49">
        <f>Assumptions!$B$10*Assumptions!$B$16</f>
        <v>4107000</v>
      </c>
      <c r="I8" s="49">
        <f>Assumptions!$B$10*Assumptions!$B$17</f>
        <v>4107000</v>
      </c>
      <c r="AO8" s="50"/>
    </row>
    <row r="9" spans="1:41" s="46" customFormat="1">
      <c r="A9" s="339" t="s">
        <v>12</v>
      </c>
      <c r="C9" s="340">
        <f>ROUND(G9+NPV(Assumptions!$B$4,H9:AO9),-3)</f>
        <v>17489000</v>
      </c>
      <c r="E9" s="53">
        <v>0</v>
      </c>
      <c r="F9" s="53">
        <v>0</v>
      </c>
      <c r="G9" s="54">
        <v>0</v>
      </c>
      <c r="H9" s="54">
        <v>0</v>
      </c>
      <c r="I9" s="50">
        <f>Assumptions!K21/2</f>
        <v>0</v>
      </c>
      <c r="J9" s="49">
        <f>Assumptions!$B$11*Assumptions!$B$18</f>
        <v>13200000</v>
      </c>
      <c r="K9" s="49">
        <f>Assumptions!$B$11*Assumptions!$B$19</f>
        <v>8800000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48"/>
      <c r="AF9" s="48"/>
      <c r="AG9" s="48"/>
      <c r="AH9" s="48"/>
      <c r="AI9" s="48"/>
      <c r="AJ9" s="48"/>
      <c r="AK9" s="48"/>
      <c r="AL9" s="48"/>
      <c r="AM9" s="48"/>
      <c r="AO9" s="48"/>
    </row>
    <row r="10" spans="1:41">
      <c r="A10" s="337" t="s">
        <v>330</v>
      </c>
      <c r="B10" s="46"/>
      <c r="C10" s="341">
        <f>ROUND(G10+NPV(Assumptions!$B$4,H10:AO10),-3)</f>
        <v>30390000</v>
      </c>
      <c r="E10" s="46">
        <f>E9+E8</f>
        <v>0</v>
      </c>
      <c r="F10" s="46">
        <f t="shared" ref="F10:AO10" si="12">F9+F8</f>
        <v>0</v>
      </c>
      <c r="G10" s="46">
        <f t="shared" si="12"/>
        <v>5476000</v>
      </c>
      <c r="H10" s="46">
        <f t="shared" si="12"/>
        <v>4107000</v>
      </c>
      <c r="I10" s="46">
        <f t="shared" si="12"/>
        <v>4107000</v>
      </c>
      <c r="J10" s="46">
        <f t="shared" si="12"/>
        <v>13200000</v>
      </c>
      <c r="K10" s="46">
        <f t="shared" si="12"/>
        <v>8800000</v>
      </c>
      <c r="L10" s="46">
        <f t="shared" si="12"/>
        <v>0</v>
      </c>
      <c r="M10" s="46">
        <f t="shared" si="12"/>
        <v>0</v>
      </c>
      <c r="N10" s="46">
        <f t="shared" si="12"/>
        <v>0</v>
      </c>
      <c r="O10" s="46">
        <f t="shared" si="12"/>
        <v>0</v>
      </c>
      <c r="P10" s="46">
        <f t="shared" si="12"/>
        <v>0</v>
      </c>
      <c r="Q10" s="46">
        <f t="shared" si="12"/>
        <v>0</v>
      </c>
      <c r="R10" s="46">
        <f t="shared" si="12"/>
        <v>0</v>
      </c>
      <c r="S10" s="46">
        <f t="shared" si="12"/>
        <v>0</v>
      </c>
      <c r="T10" s="46">
        <f t="shared" si="12"/>
        <v>0</v>
      </c>
      <c r="U10" s="46">
        <f t="shared" si="12"/>
        <v>0</v>
      </c>
      <c r="V10" s="46">
        <f t="shared" si="12"/>
        <v>0</v>
      </c>
      <c r="W10" s="46">
        <f t="shared" si="12"/>
        <v>0</v>
      </c>
      <c r="X10" s="46">
        <f t="shared" si="12"/>
        <v>0</v>
      </c>
      <c r="Y10" s="46">
        <f t="shared" si="12"/>
        <v>0</v>
      </c>
      <c r="Z10" s="46">
        <f t="shared" si="12"/>
        <v>0</v>
      </c>
      <c r="AA10" s="46">
        <f t="shared" si="12"/>
        <v>0</v>
      </c>
      <c r="AB10" s="46">
        <f t="shared" si="12"/>
        <v>0</v>
      </c>
      <c r="AC10" s="46">
        <f t="shared" si="12"/>
        <v>0</v>
      </c>
      <c r="AD10" s="46">
        <f t="shared" si="12"/>
        <v>0</v>
      </c>
      <c r="AE10" s="46">
        <f t="shared" si="12"/>
        <v>0</v>
      </c>
      <c r="AF10" s="46">
        <f t="shared" si="12"/>
        <v>0</v>
      </c>
      <c r="AG10" s="46">
        <f t="shared" si="12"/>
        <v>0</v>
      </c>
      <c r="AH10" s="46">
        <f t="shared" si="12"/>
        <v>0</v>
      </c>
      <c r="AI10" s="46">
        <f t="shared" si="12"/>
        <v>0</v>
      </c>
      <c r="AJ10" s="46">
        <f t="shared" si="12"/>
        <v>0</v>
      </c>
      <c r="AK10" s="46">
        <f t="shared" si="12"/>
        <v>0</v>
      </c>
      <c r="AL10" s="46">
        <f t="shared" si="12"/>
        <v>0</v>
      </c>
      <c r="AM10" s="46">
        <f t="shared" si="12"/>
        <v>0</v>
      </c>
      <c r="AN10" s="46">
        <f t="shared" si="12"/>
        <v>0</v>
      </c>
      <c r="AO10" s="46">
        <f t="shared" si="12"/>
        <v>0</v>
      </c>
    </row>
    <row r="11" spans="1:41" s="46" customFormat="1">
      <c r="A11" s="102" t="s">
        <v>57</v>
      </c>
      <c r="C11" s="47"/>
      <c r="E11" s="53"/>
      <c r="F11" s="53"/>
      <c r="G11" s="53"/>
      <c r="H11" s="53"/>
      <c r="I11" s="53"/>
      <c r="J11" s="53"/>
    </row>
    <row r="12" spans="1:41" s="46" customFormat="1">
      <c r="A12" s="338" t="s">
        <v>32</v>
      </c>
      <c r="C12" s="340">
        <f>ROUND(G12+NPV(Assumptions!$B$4,H12:AO12),-3)</f>
        <v>10649000</v>
      </c>
      <c r="E12" s="53">
        <v>0</v>
      </c>
      <c r="F12" s="53">
        <v>0</v>
      </c>
      <c r="G12" s="49">
        <f>Assumptions!$B$13*Assumptions!$B$15</f>
        <v>4520000</v>
      </c>
      <c r="H12" s="49">
        <f>Assumptions!$B$13*Assumptions!$B$16</f>
        <v>3390000</v>
      </c>
      <c r="I12" s="49">
        <f>Assumptions!$B$13*Assumptions!$B$17</f>
        <v>3390000</v>
      </c>
      <c r="J12" s="49"/>
      <c r="K12" s="49"/>
    </row>
    <row r="13" spans="1:41" s="46" customFormat="1">
      <c r="A13" s="339" t="s">
        <v>12</v>
      </c>
      <c r="C13" s="340">
        <f>ROUND(G13+NPV(Assumptions!$B$4,H13:AO13),-3)</f>
        <v>28936000</v>
      </c>
      <c r="E13" s="53">
        <v>0</v>
      </c>
      <c r="F13" s="53">
        <v>0</v>
      </c>
      <c r="G13" s="54">
        <v>0</v>
      </c>
      <c r="H13" s="54">
        <v>0</v>
      </c>
      <c r="I13" s="50">
        <f>Assumptions!K25/2</f>
        <v>0</v>
      </c>
      <c r="J13" s="49">
        <f>Assumptions!$B$14*Assumptions!$B$18</f>
        <v>21840000</v>
      </c>
      <c r="K13" s="49">
        <f>Assumptions!$B$14*Assumptions!$B$19</f>
        <v>14560000</v>
      </c>
    </row>
    <row r="14" spans="1:41" s="46" customFormat="1">
      <c r="A14" s="337" t="s">
        <v>330</v>
      </c>
      <c r="C14" s="341">
        <f>ROUND(G14+NPV(Assumptions!$B$4,H14:AO14),-3)</f>
        <v>39585000</v>
      </c>
      <c r="E14" s="53">
        <v>0</v>
      </c>
      <c r="F14" s="46">
        <f t="shared" ref="F14" si="13">F13+F12</f>
        <v>0</v>
      </c>
      <c r="G14" s="46">
        <f t="shared" ref="G14" si="14">G13+G12</f>
        <v>4520000</v>
      </c>
      <c r="H14" s="46">
        <f t="shared" ref="H14" si="15">H13+H12</f>
        <v>3390000</v>
      </c>
      <c r="I14" s="46">
        <f t="shared" ref="I14" si="16">I13+I12</f>
        <v>3390000</v>
      </c>
      <c r="J14" s="46">
        <f t="shared" ref="J14" si="17">J13+J12</f>
        <v>21840000</v>
      </c>
      <c r="K14" s="46">
        <f t="shared" ref="K14" si="18">K13+K12</f>
        <v>14560000</v>
      </c>
      <c r="L14" s="46">
        <f t="shared" ref="L14" si="19">L13+L12</f>
        <v>0</v>
      </c>
      <c r="M14" s="46">
        <f t="shared" ref="M14" si="20">M13+M12</f>
        <v>0</v>
      </c>
      <c r="N14" s="46">
        <f t="shared" ref="N14" si="21">N13+N12</f>
        <v>0</v>
      </c>
      <c r="O14" s="46">
        <f t="shared" ref="O14" si="22">O13+O12</f>
        <v>0</v>
      </c>
      <c r="P14" s="46">
        <f t="shared" ref="P14" si="23">P13+P12</f>
        <v>0</v>
      </c>
      <c r="Q14" s="46">
        <f t="shared" ref="Q14" si="24">Q13+Q12</f>
        <v>0</v>
      </c>
      <c r="R14" s="46">
        <f t="shared" ref="R14" si="25">R13+R12</f>
        <v>0</v>
      </c>
      <c r="S14" s="46">
        <f t="shared" ref="S14" si="26">S13+S12</f>
        <v>0</v>
      </c>
      <c r="T14" s="46">
        <f t="shared" ref="T14" si="27">T13+T12</f>
        <v>0</v>
      </c>
      <c r="U14" s="46">
        <f t="shared" ref="U14" si="28">U13+U12</f>
        <v>0</v>
      </c>
      <c r="V14" s="46">
        <f t="shared" ref="V14" si="29">V13+V12</f>
        <v>0</v>
      </c>
      <c r="W14" s="46">
        <f t="shared" ref="W14" si="30">W13+W12</f>
        <v>0</v>
      </c>
      <c r="X14" s="46">
        <f t="shared" ref="X14" si="31">X13+X12</f>
        <v>0</v>
      </c>
      <c r="Y14" s="46">
        <f t="shared" ref="Y14" si="32">Y13+Y12</f>
        <v>0</v>
      </c>
      <c r="Z14" s="46">
        <f t="shared" ref="Z14" si="33">Z13+Z12</f>
        <v>0</v>
      </c>
      <c r="AA14" s="46">
        <f t="shared" ref="AA14" si="34">AA13+AA12</f>
        <v>0</v>
      </c>
      <c r="AB14" s="46">
        <f t="shared" ref="AB14" si="35">AB13+AB12</f>
        <v>0</v>
      </c>
      <c r="AC14" s="46">
        <f t="shared" ref="AC14" si="36">AC13+AC12</f>
        <v>0</v>
      </c>
      <c r="AD14" s="46">
        <f t="shared" ref="AD14" si="37">AD13+AD12</f>
        <v>0</v>
      </c>
      <c r="AE14" s="46">
        <f t="shared" ref="AE14" si="38">AE13+AE12</f>
        <v>0</v>
      </c>
      <c r="AF14" s="46">
        <f t="shared" ref="AF14" si="39">AF13+AF12</f>
        <v>0</v>
      </c>
      <c r="AG14" s="46">
        <f t="shared" ref="AG14" si="40">AG13+AG12</f>
        <v>0</v>
      </c>
      <c r="AH14" s="46">
        <f t="shared" ref="AH14" si="41">AH13+AH12</f>
        <v>0</v>
      </c>
      <c r="AI14" s="46">
        <f t="shared" ref="AI14" si="42">AI13+AI12</f>
        <v>0</v>
      </c>
      <c r="AJ14" s="46">
        <f t="shared" ref="AJ14" si="43">AJ13+AJ12</f>
        <v>0</v>
      </c>
      <c r="AK14" s="46">
        <f t="shared" ref="AK14" si="44">AK13+AK12</f>
        <v>0</v>
      </c>
      <c r="AL14" s="46">
        <f t="shared" ref="AL14" si="45">AL13+AL12</f>
        <v>0</v>
      </c>
      <c r="AM14" s="46">
        <f t="shared" ref="AM14" si="46">AM13+AM12</f>
        <v>0</v>
      </c>
      <c r="AN14" s="46">
        <f t="shared" ref="AN14" si="47">AN13+AN12</f>
        <v>0</v>
      </c>
      <c r="AO14" s="46">
        <f t="shared" ref="AO14" si="48">AO13+AO12</f>
        <v>0</v>
      </c>
    </row>
    <row r="15" spans="1:41" s="46" customFormat="1">
      <c r="A15" s="109" t="s">
        <v>357</v>
      </c>
      <c r="C15" s="341">
        <f>C14-C10</f>
        <v>9195000</v>
      </c>
      <c r="E15" s="53">
        <f>E14-E10</f>
        <v>0</v>
      </c>
      <c r="F15" s="53">
        <f t="shared" ref="F15:AO15" si="49">F14-F10</f>
        <v>0</v>
      </c>
      <c r="G15" s="53">
        <f t="shared" si="49"/>
        <v>-956000</v>
      </c>
      <c r="H15" s="53">
        <f t="shared" si="49"/>
        <v>-717000</v>
      </c>
      <c r="I15" s="53">
        <f t="shared" si="49"/>
        <v>-717000</v>
      </c>
      <c r="J15" s="53">
        <f t="shared" si="49"/>
        <v>8640000</v>
      </c>
      <c r="K15" s="53">
        <f t="shared" si="49"/>
        <v>5760000</v>
      </c>
      <c r="L15" s="53">
        <f t="shared" si="49"/>
        <v>0</v>
      </c>
      <c r="M15" s="53">
        <f t="shared" si="49"/>
        <v>0</v>
      </c>
      <c r="N15" s="53">
        <f t="shared" si="49"/>
        <v>0</v>
      </c>
      <c r="O15" s="53">
        <f t="shared" si="49"/>
        <v>0</v>
      </c>
      <c r="P15" s="53">
        <f t="shared" si="49"/>
        <v>0</v>
      </c>
      <c r="Q15" s="53">
        <f t="shared" si="49"/>
        <v>0</v>
      </c>
      <c r="R15" s="53">
        <f t="shared" si="49"/>
        <v>0</v>
      </c>
      <c r="S15" s="53">
        <f t="shared" si="49"/>
        <v>0</v>
      </c>
      <c r="T15" s="53">
        <f t="shared" si="49"/>
        <v>0</v>
      </c>
      <c r="U15" s="53">
        <f t="shared" si="49"/>
        <v>0</v>
      </c>
      <c r="V15" s="53">
        <f t="shared" si="49"/>
        <v>0</v>
      </c>
      <c r="W15" s="53">
        <f t="shared" si="49"/>
        <v>0</v>
      </c>
      <c r="X15" s="53">
        <f t="shared" si="49"/>
        <v>0</v>
      </c>
      <c r="Y15" s="53">
        <f t="shared" si="49"/>
        <v>0</v>
      </c>
      <c r="Z15" s="53">
        <f t="shared" si="49"/>
        <v>0</v>
      </c>
      <c r="AA15" s="53">
        <f t="shared" si="49"/>
        <v>0</v>
      </c>
      <c r="AB15" s="53">
        <f t="shared" si="49"/>
        <v>0</v>
      </c>
      <c r="AC15" s="53">
        <f t="shared" si="49"/>
        <v>0</v>
      </c>
      <c r="AD15" s="53">
        <f t="shared" si="49"/>
        <v>0</v>
      </c>
      <c r="AE15" s="53">
        <f t="shared" si="49"/>
        <v>0</v>
      </c>
      <c r="AF15" s="53">
        <f t="shared" si="49"/>
        <v>0</v>
      </c>
      <c r="AG15" s="53">
        <f t="shared" si="49"/>
        <v>0</v>
      </c>
      <c r="AH15" s="53">
        <f t="shared" si="49"/>
        <v>0</v>
      </c>
      <c r="AI15" s="53">
        <f t="shared" si="49"/>
        <v>0</v>
      </c>
      <c r="AJ15" s="53">
        <f t="shared" si="49"/>
        <v>0</v>
      </c>
      <c r="AK15" s="53">
        <f t="shared" si="49"/>
        <v>0</v>
      </c>
      <c r="AL15" s="53">
        <f t="shared" si="49"/>
        <v>0</v>
      </c>
      <c r="AM15" s="53">
        <f t="shared" si="49"/>
        <v>0</v>
      </c>
      <c r="AN15" s="53">
        <f t="shared" si="49"/>
        <v>0</v>
      </c>
      <c r="AO15" s="53">
        <f t="shared" si="49"/>
        <v>0</v>
      </c>
    </row>
    <row r="16" spans="1:41" s="46" customFormat="1">
      <c r="A16" s="339"/>
      <c r="C16" s="340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5"/>
    </row>
    <row r="17" spans="1:42" s="46" customFormat="1">
      <c r="A17" s="109" t="s">
        <v>355</v>
      </c>
      <c r="C17" s="96">
        <f>ROUND(G17+NPV(Assumptions!$B$4,H17:AO17),-3)</f>
        <v>189000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6">
        <v>20000</v>
      </c>
      <c r="M17" s="46">
        <v>20000</v>
      </c>
      <c r="N17" s="46">
        <v>20000</v>
      </c>
      <c r="O17" s="46">
        <v>20000</v>
      </c>
      <c r="P17" s="46">
        <v>20000</v>
      </c>
      <c r="Q17" s="46">
        <v>20000</v>
      </c>
      <c r="R17" s="46">
        <v>20000</v>
      </c>
      <c r="S17" s="46">
        <v>20000</v>
      </c>
      <c r="T17" s="46">
        <v>20000</v>
      </c>
      <c r="U17" s="46">
        <v>20000</v>
      </c>
      <c r="V17" s="46">
        <v>20000</v>
      </c>
      <c r="W17" s="46">
        <v>20000</v>
      </c>
      <c r="X17" s="46">
        <v>20000</v>
      </c>
      <c r="Y17" s="46">
        <v>20000</v>
      </c>
      <c r="Z17" s="46">
        <v>20000</v>
      </c>
      <c r="AA17" s="46">
        <v>20000</v>
      </c>
      <c r="AB17" s="46">
        <v>20000</v>
      </c>
      <c r="AC17" s="46">
        <v>20000</v>
      </c>
      <c r="AD17" s="46">
        <v>20000</v>
      </c>
      <c r="AE17" s="46">
        <v>20000</v>
      </c>
      <c r="AF17" s="46">
        <v>20000</v>
      </c>
      <c r="AG17" s="46">
        <v>20000</v>
      </c>
      <c r="AH17" s="46">
        <v>20000</v>
      </c>
      <c r="AI17" s="46">
        <v>20000</v>
      </c>
      <c r="AJ17" s="46">
        <v>20000</v>
      </c>
      <c r="AK17" s="46">
        <v>20000</v>
      </c>
      <c r="AL17" s="46">
        <v>20000</v>
      </c>
      <c r="AM17" s="46">
        <v>20000</v>
      </c>
      <c r="AN17" s="46">
        <v>20000</v>
      </c>
      <c r="AO17" s="46">
        <v>20000</v>
      </c>
    </row>
    <row r="18" spans="1:42">
      <c r="C18" s="13"/>
    </row>
    <row r="19" spans="1:42" s="46" customFormat="1">
      <c r="A19" s="109" t="s">
        <v>331</v>
      </c>
      <c r="C19" s="340">
        <f>-ROUND(G19+NPV(Assumptions!$B$4,H19:AO19),-3)</f>
        <v>1431000</v>
      </c>
      <c r="D19" s="6"/>
      <c r="E19" s="49">
        <f>(Assumptions!K22-Assumptions!K23)/4</f>
        <v>0</v>
      </c>
      <c r="F19" s="49">
        <f>(Assumptions!L22-Assumptions!L23)/4</f>
        <v>0</v>
      </c>
      <c r="G19" s="49">
        <f>(Assumptions!M22-Assumptions!M23)/4</f>
        <v>0</v>
      </c>
      <c r="H19" s="49">
        <f>(Assumptions!N22-Assumptions!N23)/4</f>
        <v>0</v>
      </c>
      <c r="I19" s="49">
        <f>(Assumptions!O22-Assumptions!O23)/4</f>
        <v>0</v>
      </c>
      <c r="J19" s="49">
        <f>(Assumptions!P22-Assumptions!P23)/4</f>
        <v>0</v>
      </c>
      <c r="K19" s="49">
        <f>(Assumptions!Q22-Assumptions!Q23)/4</f>
        <v>0</v>
      </c>
      <c r="L19" s="49">
        <f>(Assumptions!R22-Assumptions!R23)/4</f>
        <v>0</v>
      </c>
      <c r="M19" s="49">
        <f>(Assumptions!S22-Assumptions!S23)/4</f>
        <v>0</v>
      </c>
      <c r="N19" s="49">
        <f>(Assumptions!T22-Assumptions!T23)/4</f>
        <v>0</v>
      </c>
      <c r="O19" s="49">
        <f>(Assumptions!U22-Assumptions!U23)/4</f>
        <v>0</v>
      </c>
      <c r="P19" s="49">
        <f>(Assumptions!V22-Assumptions!V23)/4</f>
        <v>0</v>
      </c>
      <c r="Q19" s="49">
        <f>(Assumptions!W22-Assumptions!W23)/4</f>
        <v>0</v>
      </c>
      <c r="R19" s="49">
        <f>(Assumptions!X22-Assumptions!X23)/4</f>
        <v>0</v>
      </c>
      <c r="S19" s="49">
        <f>(Assumptions!Y22-Assumptions!Y23)/4</f>
        <v>0</v>
      </c>
      <c r="T19" s="49">
        <f>(Assumptions!Z22-Assumptions!Z23)/4</f>
        <v>0</v>
      </c>
      <c r="U19" s="49">
        <f>(Assumptions!AA22-Assumptions!AA23)/4</f>
        <v>0</v>
      </c>
      <c r="V19" s="49">
        <f>(Assumptions!AB22-Assumptions!AB23)/4</f>
        <v>0</v>
      </c>
      <c r="W19" s="49">
        <f>(Assumptions!AC22-Assumptions!AC23)/4</f>
        <v>0</v>
      </c>
      <c r="X19" s="49">
        <f>(Assumptions!AD22-Assumptions!AD23)/4</f>
        <v>0</v>
      </c>
      <c r="Y19" s="49">
        <f>(Assumptions!AE22-Assumptions!AE23)/4</f>
        <v>0</v>
      </c>
      <c r="Z19" s="49">
        <f>(Assumptions!AF22-Assumptions!AF23)/4</f>
        <v>0</v>
      </c>
      <c r="AA19" s="49">
        <f>(Assumptions!AG22-Assumptions!AG23)/4</f>
        <v>0</v>
      </c>
      <c r="AB19" s="49">
        <f>(Assumptions!AH22-Assumptions!AH23)/4</f>
        <v>0</v>
      </c>
      <c r="AC19" s="49">
        <f>(Assumptions!AI22-Assumptions!AI23)/4</f>
        <v>0</v>
      </c>
      <c r="AD19" s="49">
        <f>(Assumptions!AJ22-Assumptions!AJ23)/4</f>
        <v>0</v>
      </c>
      <c r="AE19" s="49">
        <f>(Assumptions!AK22-Assumptions!AK23)/4</f>
        <v>0</v>
      </c>
      <c r="AF19" s="49">
        <f>(Assumptions!AL22-Assumptions!AL23)/4</f>
        <v>0</v>
      </c>
      <c r="AG19" s="49">
        <f>(Assumptions!AM22-Assumptions!AM23)/4</f>
        <v>0</v>
      </c>
      <c r="AH19" s="49">
        <f>(Assumptions!AN22-Assumptions!AN23)/4</f>
        <v>0</v>
      </c>
      <c r="AI19" s="49">
        <f>(Assumptions!AO22-Assumptions!AO23)/4</f>
        <v>0</v>
      </c>
      <c r="AJ19" s="49">
        <f>(Assumptions!AP22-Assumptions!AP23)/4</f>
        <v>0</v>
      </c>
      <c r="AK19" s="49">
        <f>(Assumptions!AQ22-Assumptions!AQ23)/4</f>
        <v>0</v>
      </c>
      <c r="AL19" s="49">
        <f>(Assumptions!AR22-Assumptions!AR23)/4</f>
        <v>0</v>
      </c>
      <c r="AM19" s="49">
        <f>(Assumptions!AS22-Assumptions!AS23)/4</f>
        <v>0</v>
      </c>
      <c r="AN19" s="49">
        <f>(Assumptions!AT22-Assumptions!AT23)/4</f>
        <v>0</v>
      </c>
      <c r="AO19" s="55">
        <f>-SUM(G8:K9)*20/50</f>
        <v>-14276000</v>
      </c>
    </row>
    <row r="20" spans="1:42" s="46" customFormat="1">
      <c r="A20" s="109" t="s">
        <v>332</v>
      </c>
      <c r="C20" s="340">
        <f>-ROUND(G20+NPV(Assumptions!$B$4,H20:AO20),-3)</f>
        <v>1912000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0</v>
      </c>
      <c r="AN20" s="53">
        <v>0</v>
      </c>
      <c r="AO20" s="55">
        <f>-SUM(G12:K13)*20/50</f>
        <v>-19080000</v>
      </c>
    </row>
    <row r="21" spans="1:42" s="46" customFormat="1">
      <c r="A21" s="109" t="s">
        <v>356</v>
      </c>
      <c r="C21" s="340">
        <f>C20-C19</f>
        <v>481000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5"/>
    </row>
    <row r="22" spans="1:42">
      <c r="C22" s="13"/>
    </row>
    <row r="23" spans="1:42">
      <c r="A23" s="8" t="s">
        <v>170</v>
      </c>
      <c r="C23" s="13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</row>
    <row r="24" spans="1:42" s="26" customFormat="1">
      <c r="A24" s="84" t="s">
        <v>174</v>
      </c>
      <c r="C24" s="29"/>
      <c r="E24" s="93">
        <f>DelayAuto!G$20*(1-Truck_pct)*Veh_Occ</f>
        <v>11720435.61045</v>
      </c>
      <c r="F24" s="86">
        <f>E24*($AD24/$E24)^(1/25)</f>
        <v>11867300.203757502</v>
      </c>
      <c r="G24" s="86">
        <f t="shared" ref="G24:AC24" si="50">F24*($AD24/$E24)^(1/25)</f>
        <v>12016005.104838902</v>
      </c>
      <c r="H24" s="86">
        <f t="shared" si="50"/>
        <v>12166573.373933747</v>
      </c>
      <c r="I24" s="86">
        <f t="shared" si="50"/>
        <v>12319028.360241212</v>
      </c>
      <c r="J24" s="86">
        <f t="shared" si="50"/>
        <v>12473393.705540946</v>
      </c>
      <c r="K24" s="86">
        <f t="shared" si="50"/>
        <v>12629693.347859301</v>
      </c>
      <c r="L24" s="86">
        <f t="shared" si="50"/>
        <v>12787951.525181483</v>
      </c>
      <c r="M24" s="86">
        <f t="shared" si="50"/>
        <v>12948192.779210243</v>
      </c>
      <c r="N24" s="86">
        <f t="shared" si="50"/>
        <v>13110441.95917164</v>
      </c>
      <c r="O24" s="86">
        <f t="shared" si="50"/>
        <v>13274724.22566851</v>
      </c>
      <c r="P24" s="86">
        <f t="shared" si="50"/>
        <v>13441065.054582225</v>
      </c>
      <c r="Q24" s="86">
        <f t="shared" si="50"/>
        <v>13609490.241023323</v>
      </c>
      <c r="R24" s="86">
        <f t="shared" si="50"/>
        <v>13780025.90333166</v>
      </c>
      <c r="S24" s="86">
        <f t="shared" si="50"/>
        <v>13952698.487126688</v>
      </c>
      <c r="T24" s="86">
        <f t="shared" si="50"/>
        <v>14127534.769408468</v>
      </c>
      <c r="U24" s="86">
        <f t="shared" si="50"/>
        <v>14304561.86271009</v>
      </c>
      <c r="V24" s="86">
        <f t="shared" si="50"/>
        <v>14483807.219302112</v>
      </c>
      <c r="W24" s="86">
        <f t="shared" si="50"/>
        <v>14665298.635449691</v>
      </c>
      <c r="X24" s="86">
        <f t="shared" si="50"/>
        <v>14849064.255723057</v>
      </c>
      <c r="Y24" s="86">
        <f t="shared" si="50"/>
        <v>15035132.577362001</v>
      </c>
      <c r="Z24" s="86">
        <f t="shared" si="50"/>
        <v>15223532.454695048</v>
      </c>
      <c r="AA24" s="86">
        <f t="shared" si="50"/>
        <v>15414293.10361401</v>
      </c>
      <c r="AB24" s="86">
        <f t="shared" si="50"/>
        <v>15607444.106104609</v>
      </c>
      <c r="AC24" s="86">
        <f t="shared" si="50"/>
        <v>15803015.41483386</v>
      </c>
      <c r="AD24" s="93">
        <f>DelayAuto!G$31*(1-Truck_pct)*Veh_Occ</f>
        <v>16001037.357795</v>
      </c>
      <c r="AE24" s="86">
        <f>AD24</f>
        <v>16001037.357795</v>
      </c>
      <c r="AF24" s="86">
        <f t="shared" ref="AF24:AO24" si="51">AE24</f>
        <v>16001037.357795</v>
      </c>
      <c r="AG24" s="86">
        <f t="shared" si="51"/>
        <v>16001037.357795</v>
      </c>
      <c r="AH24" s="86">
        <f t="shared" si="51"/>
        <v>16001037.357795</v>
      </c>
      <c r="AI24" s="86">
        <f t="shared" si="51"/>
        <v>16001037.357795</v>
      </c>
      <c r="AJ24" s="86">
        <f t="shared" si="51"/>
        <v>16001037.357795</v>
      </c>
      <c r="AK24" s="86">
        <f t="shared" si="51"/>
        <v>16001037.357795</v>
      </c>
      <c r="AL24" s="86">
        <f t="shared" si="51"/>
        <v>16001037.357795</v>
      </c>
      <c r="AM24" s="86">
        <f t="shared" si="51"/>
        <v>16001037.357795</v>
      </c>
      <c r="AN24" s="86">
        <f t="shared" si="51"/>
        <v>16001037.357795</v>
      </c>
      <c r="AO24" s="86">
        <f t="shared" si="51"/>
        <v>16001037.357795</v>
      </c>
      <c r="AP24" s="86"/>
    </row>
    <row r="25" spans="1:42" s="26" customFormat="1">
      <c r="A25" s="84" t="s">
        <v>175</v>
      </c>
      <c r="C25" s="29"/>
      <c r="E25" s="88"/>
      <c r="F25" s="86"/>
      <c r="G25" s="86"/>
      <c r="H25" s="86"/>
      <c r="I25" s="86"/>
      <c r="J25" s="86"/>
      <c r="K25" s="86"/>
      <c r="L25" s="86">
        <f>L24*(Truck_pct)*Assumptions!$B$23</f>
        <v>313304.81236694637</v>
      </c>
      <c r="M25" s="86">
        <f>M24*(Truck_pct)*Assumptions!$B$23</f>
        <v>317230.72309065098</v>
      </c>
      <c r="N25" s="86">
        <f>N24*(Truck_pct)*Assumptions!$B$23</f>
        <v>321205.82799970516</v>
      </c>
      <c r="O25" s="86">
        <f>O24*(Truck_pct)*Assumptions!$B$23</f>
        <v>325230.74352887849</v>
      </c>
      <c r="P25" s="86">
        <f>P24*(Truck_pct)*Assumptions!$B$23</f>
        <v>329306.09383726452</v>
      </c>
      <c r="Q25" s="86">
        <f>Q24*(Truck_pct)*Assumptions!$B$23</f>
        <v>333432.51090507145</v>
      </c>
      <c r="R25" s="86">
        <f>R24*(Truck_pct)*Assumptions!$B$23</f>
        <v>337610.63463162567</v>
      </c>
      <c r="S25" s="86">
        <f>S24*(Truck_pct)*Assumptions!$B$23</f>
        <v>341841.11293460388</v>
      </c>
      <c r="T25" s="86">
        <f>T24*(Truck_pct)*Assumptions!$B$23</f>
        <v>346124.60185050749</v>
      </c>
      <c r="U25" s="86">
        <f>U24*(Truck_pct)*Assumptions!$B$23</f>
        <v>350461.76563639723</v>
      </c>
      <c r="V25" s="86">
        <f>V24*(Truck_pct)*Assumptions!$B$23</f>
        <v>354853.27687290177</v>
      </c>
      <c r="W25" s="86">
        <f>W24*(Truck_pct)*Assumptions!$B$23</f>
        <v>359299.81656851748</v>
      </c>
      <c r="X25" s="86">
        <f>X24*(Truck_pct)*Assumptions!$B$23</f>
        <v>363802.07426521496</v>
      </c>
      <c r="Y25" s="86">
        <f>Y24*(Truck_pct)*Assumptions!$B$23</f>
        <v>368360.748145369</v>
      </c>
      <c r="Z25" s="86">
        <f>Z24*(Truck_pct)*Assumptions!$B$23</f>
        <v>372976.5451400287</v>
      </c>
      <c r="AA25" s="86">
        <f>AA24*(Truck_pct)*Assumptions!$B$23</f>
        <v>377650.18103854323</v>
      </c>
      <c r="AB25" s="86">
        <f>AB24*(Truck_pct)*Assumptions!$B$23</f>
        <v>382382.38059956295</v>
      </c>
      <c r="AC25" s="86">
        <f>AC24*(Truck_pct)*Assumptions!$B$23</f>
        <v>387173.87766342959</v>
      </c>
      <c r="AD25" s="86">
        <f>AD24*(Truck_pct)*Assumptions!$B$23</f>
        <v>392025.41526597756</v>
      </c>
      <c r="AE25" s="86">
        <f>AE24*(Truck_pct)*Assumptions!$B$23</f>
        <v>392025.41526597756</v>
      </c>
      <c r="AF25" s="86">
        <f>AF24*(Truck_pct)*Assumptions!$B$23</f>
        <v>392025.41526597756</v>
      </c>
      <c r="AG25" s="86">
        <f>AG24*(Truck_pct)*Assumptions!$B$23</f>
        <v>392025.41526597756</v>
      </c>
      <c r="AH25" s="86">
        <f>AH24*(Truck_pct)*Assumptions!$B$23</f>
        <v>392025.41526597756</v>
      </c>
      <c r="AI25" s="86">
        <f>AI24*(Truck_pct)*Assumptions!$B$23</f>
        <v>392025.41526597756</v>
      </c>
      <c r="AJ25" s="86">
        <f>AJ24*(Truck_pct)*Assumptions!$B$23</f>
        <v>392025.41526597756</v>
      </c>
      <c r="AK25" s="86">
        <f>AK24*(Truck_pct)*Assumptions!$B$23</f>
        <v>392025.41526597756</v>
      </c>
      <c r="AL25" s="86">
        <f>AL24*(Truck_pct)*Assumptions!$B$23</f>
        <v>392025.41526597756</v>
      </c>
      <c r="AM25" s="86">
        <f>AM24*(Truck_pct)*Assumptions!$B$23</f>
        <v>392025.41526597756</v>
      </c>
      <c r="AN25" s="86">
        <f>AN24*(Truck_pct)*Assumptions!$B$23</f>
        <v>392025.41526597756</v>
      </c>
      <c r="AO25" s="86">
        <f>AO24*(Truck_pct)*Assumptions!$B$23</f>
        <v>392025.41526597756</v>
      </c>
      <c r="AP25" s="86"/>
    </row>
    <row r="26" spans="1:42" s="26" customFormat="1">
      <c r="A26" s="84" t="s">
        <v>176</v>
      </c>
      <c r="C26" s="29"/>
      <c r="E26" s="88"/>
      <c r="F26" s="86"/>
      <c r="G26" s="86"/>
      <c r="H26" s="86"/>
      <c r="I26" s="86"/>
      <c r="J26" s="86"/>
      <c r="K26" s="86"/>
      <c r="L26" s="86">
        <f>M26/($AD26/$M26)^(1/17)</f>
        <v>282983.18763019796</v>
      </c>
      <c r="M26" s="93">
        <f>Transit!U59</f>
        <v>302170.87388186937</v>
      </c>
      <c r="N26" s="86">
        <f t="shared" ref="N26" si="52">M26*($AD26/$M26)^(1/17)</f>
        <v>322659.58196022856</v>
      </c>
      <c r="O26" s="86">
        <f t="shared" ref="O26" si="53">N26*($AD26/$M26)^(1/17)</f>
        <v>344537.52770179266</v>
      </c>
      <c r="P26" s="86">
        <f t="shared" ref="P26" si="54">O26*($AD26/$M26)^(1/17)</f>
        <v>367898.90842136962</v>
      </c>
      <c r="Q26" s="86">
        <f t="shared" ref="Q26" si="55">P26*($AD26/$M26)^(1/17)</f>
        <v>392844.30848643102</v>
      </c>
      <c r="R26" s="86">
        <f t="shared" ref="R26" si="56">Q26*($AD26/$M26)^(1/17)</f>
        <v>419481.13239147095</v>
      </c>
      <c r="S26" s="86">
        <f t="shared" ref="S26" si="57">R26*($AD26/$M26)^(1/17)</f>
        <v>447924.06719698891</v>
      </c>
      <c r="T26" s="86">
        <f t="shared" ref="T26" si="58">S26*($AD26/$M26)^(1/17)</f>
        <v>478295.57632416661</v>
      </c>
      <c r="U26" s="86">
        <f t="shared" ref="U26" si="59">T26*($AD26/$M26)^(1/17)</f>
        <v>510726.42683131213</v>
      </c>
      <c r="V26" s="86">
        <f t="shared" ref="V26" si="60">U26*($AD26/$M26)^(1/17)</f>
        <v>545356.25244230428</v>
      </c>
      <c r="W26" s="86">
        <f t="shared" ref="W26" si="61">V26*($AD26/$M26)^(1/17)</f>
        <v>582334.15475120314</v>
      </c>
      <c r="X26" s="86">
        <f t="shared" ref="X26" si="62">W26*($AD26/$M26)^(1/17)</f>
        <v>621819.34519156266</v>
      </c>
      <c r="Y26" s="86">
        <f t="shared" ref="Y26" si="63">X26*($AD26/$M26)^(1/17)</f>
        <v>663981.83053449844</v>
      </c>
      <c r="Z26" s="86">
        <f t="shared" ref="Z26" si="64">Y26*($AD26/$M26)^(1/17)</f>
        <v>709003.14486697875</v>
      </c>
      <c r="AA26" s="86">
        <f t="shared" ref="AA26" si="65">Z26*($AD26/$M26)^(1/17)</f>
        <v>757077.13120193291</v>
      </c>
      <c r="AB26" s="86">
        <f t="shared" ref="AB26" si="66">AA26*($AD26/$M26)^(1/17)</f>
        <v>808410.7760854637</v>
      </c>
      <c r="AC26" s="86">
        <f t="shared" ref="AC26" si="67">AB26*($AD26/$M26)^(1/17)</f>
        <v>863225.10079463513</v>
      </c>
      <c r="AD26" s="93">
        <f>Transit!U51</f>
        <v>921756.11296296294</v>
      </c>
      <c r="AE26" s="86">
        <f>AD26</f>
        <v>921756.11296296294</v>
      </c>
      <c r="AF26" s="86">
        <f t="shared" ref="AF26:AO27" si="68">AE26</f>
        <v>921756.11296296294</v>
      </c>
      <c r="AG26" s="86">
        <f t="shared" si="68"/>
        <v>921756.11296296294</v>
      </c>
      <c r="AH26" s="86">
        <f t="shared" si="68"/>
        <v>921756.11296296294</v>
      </c>
      <c r="AI26" s="86">
        <f t="shared" si="68"/>
        <v>921756.11296296294</v>
      </c>
      <c r="AJ26" s="86">
        <f t="shared" si="68"/>
        <v>921756.11296296294</v>
      </c>
      <c r="AK26" s="86">
        <f t="shared" si="68"/>
        <v>921756.11296296294</v>
      </c>
      <c r="AL26" s="86">
        <f t="shared" si="68"/>
        <v>921756.11296296294</v>
      </c>
      <c r="AM26" s="86">
        <f t="shared" si="68"/>
        <v>921756.11296296294</v>
      </c>
      <c r="AN26" s="86">
        <f t="shared" si="68"/>
        <v>921756.11296296294</v>
      </c>
      <c r="AO26" s="86">
        <f t="shared" si="68"/>
        <v>921756.11296296294</v>
      </c>
      <c r="AP26" s="86"/>
    </row>
    <row r="27" spans="1:42" s="26" customFormat="1">
      <c r="A27" s="84" t="s">
        <v>215</v>
      </c>
      <c r="C27" s="29"/>
      <c r="E27" s="93">
        <f>BikePed!G23</f>
        <v>13470</v>
      </c>
      <c r="F27" s="86">
        <f>($AD$27/$E$27)^(1/25)*E27</f>
        <v>14044.188035243134</v>
      </c>
      <c r="G27" s="86">
        <f t="shared" ref="G27:AC27" si="69">($AD$27/$E$27)^(1/25)*F27</f>
        <v>14642.852083835665</v>
      </c>
      <c r="H27" s="86">
        <f t="shared" si="69"/>
        <v>15267.035489060123</v>
      </c>
      <c r="I27" s="86">
        <f t="shared" si="69"/>
        <v>15917.826068974795</v>
      </c>
      <c r="J27" s="86">
        <f t="shared" si="69"/>
        <v>16596.35801224774</v>
      </c>
      <c r="K27" s="86">
        <f t="shared" si="69"/>
        <v>17303.813854804845</v>
      </c>
      <c r="L27" s="86">
        <f t="shared" si="69"/>
        <v>18041.426540736793</v>
      </c>
      <c r="M27" s="86">
        <f t="shared" si="69"/>
        <v>18810.481571056687</v>
      </c>
      <c r="N27" s="86">
        <f t="shared" si="69"/>
        <v>19612.319244053142</v>
      </c>
      <c r="O27" s="86">
        <f t="shared" si="69"/>
        <v>20448.336991143267</v>
      </c>
      <c r="P27" s="86">
        <f t="shared" si="69"/>
        <v>21319.991812296503</v>
      </c>
      <c r="Q27" s="86">
        <f t="shared" si="69"/>
        <v>22228.802815273655</v>
      </c>
      <c r="R27" s="86">
        <f t="shared" si="69"/>
        <v>23176.353863106546</v>
      </c>
      <c r="S27" s="86">
        <f t="shared" si="69"/>
        <v>24164.296334432216</v>
      </c>
      <c r="T27" s="86">
        <f t="shared" si="69"/>
        <v>25194.352001492389</v>
      </c>
      <c r="U27" s="86">
        <f t="shared" si="69"/>
        <v>26268.316030813909</v>
      </c>
      <c r="V27" s="86">
        <f t="shared" si="69"/>
        <v>27388.06011179971</v>
      </c>
      <c r="W27" s="86">
        <f t="shared" si="69"/>
        <v>28555.535718682793</v>
      </c>
      <c r="X27" s="86">
        <f t="shared" si="69"/>
        <v>29772.777511528049</v>
      </c>
      <c r="Y27" s="86">
        <f t="shared" si="69"/>
        <v>31041.906882209212</v>
      </c>
      <c r="Z27" s="86">
        <f t="shared" si="69"/>
        <v>32365.135651540768</v>
      </c>
      <c r="AA27" s="86">
        <f t="shared" si="69"/>
        <v>33744.769924008157</v>
      </c>
      <c r="AB27" s="86">
        <f t="shared" si="69"/>
        <v>35183.214106814237</v>
      </c>
      <c r="AC27" s="86">
        <f t="shared" si="69"/>
        <v>36682.975100246324</v>
      </c>
      <c r="AD27" s="93">
        <f>BikePed!N23</f>
        <v>38246.666666666672</v>
      </c>
      <c r="AE27" s="86">
        <f>AD27</f>
        <v>38246.666666666672</v>
      </c>
      <c r="AF27" s="86">
        <f t="shared" si="68"/>
        <v>38246.666666666672</v>
      </c>
      <c r="AG27" s="86">
        <f t="shared" si="68"/>
        <v>38246.666666666672</v>
      </c>
      <c r="AH27" s="86">
        <f t="shared" si="68"/>
        <v>38246.666666666672</v>
      </c>
      <c r="AI27" s="86">
        <f t="shared" si="68"/>
        <v>38246.666666666672</v>
      </c>
      <c r="AJ27" s="86">
        <f t="shared" si="68"/>
        <v>38246.666666666672</v>
      </c>
      <c r="AK27" s="86">
        <f t="shared" si="68"/>
        <v>38246.666666666672</v>
      </c>
      <c r="AL27" s="86">
        <f t="shared" si="68"/>
        <v>38246.666666666672</v>
      </c>
      <c r="AM27" s="86">
        <f t="shared" si="68"/>
        <v>38246.666666666672</v>
      </c>
      <c r="AN27" s="86">
        <f t="shared" si="68"/>
        <v>38246.666666666672</v>
      </c>
      <c r="AO27" s="86">
        <f t="shared" si="68"/>
        <v>38246.666666666672</v>
      </c>
      <c r="AP27" s="86"/>
    </row>
    <row r="28" spans="1:42" s="26" customFormat="1">
      <c r="A28" s="84" t="s">
        <v>106</v>
      </c>
      <c r="C28" s="29"/>
      <c r="E28" s="86"/>
      <c r="F28" s="86"/>
      <c r="G28" s="86"/>
      <c r="H28" s="86"/>
      <c r="I28" s="86"/>
      <c r="J28" s="86"/>
      <c r="K28" s="86"/>
      <c r="L28" s="86">
        <f>M28/($AD28/$M28)^(1/17)</f>
        <v>6035980.8849458946</v>
      </c>
      <c r="M28" s="93">
        <f>DelayAuto!G$42*(1-Truck_pct)*Veh_Occ</f>
        <v>6296464.4867249997</v>
      </c>
      <c r="N28" s="86">
        <f>M28*($AD28/$M28)^(1/17)</f>
        <v>6568189.2948778756</v>
      </c>
      <c r="O28" s="86">
        <f t="shared" ref="O28:AC28" si="70">N28*($AD28/$M28)^(1/17)</f>
        <v>6851640.4252424287</v>
      </c>
      <c r="P28" s="86">
        <f t="shared" si="70"/>
        <v>7147323.9288985981</v>
      </c>
      <c r="Q28" s="86">
        <f t="shared" si="70"/>
        <v>7455767.6956316633</v>
      </c>
      <c r="R28" s="86">
        <f t="shared" si="70"/>
        <v>7777522.3963846369</v>
      </c>
      <c r="S28" s="86">
        <f t="shared" si="70"/>
        <v>8113162.466382321</v>
      </c>
      <c r="T28" s="86">
        <f t="shared" si="70"/>
        <v>8463287.1306822244</v>
      </c>
      <c r="U28" s="86">
        <f t="shared" si="70"/>
        <v>8828521.4739832655</v>
      </c>
      <c r="V28" s="86">
        <f t="shared" si="70"/>
        <v>9209517.5566022303</v>
      </c>
      <c r="W28" s="86">
        <f t="shared" si="70"/>
        <v>9606955.5786103401</v>
      </c>
      <c r="X28" s="86">
        <f t="shared" si="70"/>
        <v>10021545.094208304</v>
      </c>
      <c r="Y28" s="86">
        <f t="shared" si="70"/>
        <v>10454026.278507896</v>
      </c>
      <c r="Z28" s="86">
        <f t="shared" si="70"/>
        <v>10905171.248981664</v>
      </c>
      <c r="AA28" s="86">
        <f t="shared" si="70"/>
        <v>11375785.443939995</v>
      </c>
      <c r="AB28" s="86">
        <f t="shared" si="70"/>
        <v>11866709.060496539</v>
      </c>
      <c r="AC28" s="86">
        <f t="shared" si="70"/>
        <v>12378818.554589244</v>
      </c>
      <c r="AD28" s="93">
        <f>DelayAuto!G53*(1-Truck_pct)*Veh_Occ</f>
        <v>12913028.205735</v>
      </c>
      <c r="AE28" s="86">
        <f t="shared" ref="AE28:AO28" si="71">AD28</f>
        <v>12913028.205735</v>
      </c>
      <c r="AF28" s="86">
        <f t="shared" si="71"/>
        <v>12913028.205735</v>
      </c>
      <c r="AG28" s="86">
        <f t="shared" si="71"/>
        <v>12913028.205735</v>
      </c>
      <c r="AH28" s="86">
        <f t="shared" si="71"/>
        <v>12913028.205735</v>
      </c>
      <c r="AI28" s="86">
        <f t="shared" si="71"/>
        <v>12913028.205735</v>
      </c>
      <c r="AJ28" s="86">
        <f t="shared" si="71"/>
        <v>12913028.205735</v>
      </c>
      <c r="AK28" s="86">
        <f t="shared" si="71"/>
        <v>12913028.205735</v>
      </c>
      <c r="AL28" s="86">
        <f t="shared" si="71"/>
        <v>12913028.205735</v>
      </c>
      <c r="AM28" s="86">
        <f t="shared" si="71"/>
        <v>12913028.205735</v>
      </c>
      <c r="AN28" s="86">
        <f t="shared" si="71"/>
        <v>12913028.205735</v>
      </c>
      <c r="AO28" s="86">
        <f t="shared" si="71"/>
        <v>12913028.205735</v>
      </c>
      <c r="AP28" s="86"/>
    </row>
    <row r="29" spans="1:42" s="26" customFormat="1">
      <c r="A29" s="84" t="s">
        <v>107</v>
      </c>
      <c r="C29" s="29"/>
      <c r="E29" s="86"/>
      <c r="F29" s="86"/>
      <c r="G29" s="86"/>
      <c r="H29" s="86"/>
      <c r="I29" s="86"/>
      <c r="J29" s="86"/>
      <c r="K29" s="86"/>
      <c r="L29" s="86">
        <f>L28*(Truck_pct)*Assumptions!$B$23</f>
        <v>147881.53168117441</v>
      </c>
      <c r="M29" s="86">
        <f>M28*(Truck_pct)*Assumptions!$B$23</f>
        <v>154263.3799247625</v>
      </c>
      <c r="N29" s="86">
        <f>N28*(Truck_pct)*Assumptions!$B$23</f>
        <v>160920.63772450795</v>
      </c>
      <c r="O29" s="86">
        <f>O28*(Truck_pct)*Assumptions!$B$23</f>
        <v>167865.19041843951</v>
      </c>
      <c r="P29" s="86">
        <f>P28*(Truck_pct)*Assumptions!$B$23</f>
        <v>175109.43625801566</v>
      </c>
      <c r="Q29" s="86">
        <f>Q28*(Truck_pct)*Assumptions!$B$23</f>
        <v>182666.30854297575</v>
      </c>
      <c r="R29" s="86">
        <f>R28*(Truck_pct)*Assumptions!$B$23</f>
        <v>190549.29871142359</v>
      </c>
      <c r="S29" s="86">
        <f>S28*(Truck_pct)*Assumptions!$B$23</f>
        <v>198772.48042636688</v>
      </c>
      <c r="T29" s="86">
        <f>T28*(Truck_pct)*Assumptions!$B$23</f>
        <v>207350.5347017145</v>
      </c>
      <c r="U29" s="86">
        <f>U28*(Truck_pct)*Assumptions!$B$23</f>
        <v>216298.77611259001</v>
      </c>
      <c r="V29" s="86">
        <f>V28*(Truck_pct)*Assumptions!$B$23</f>
        <v>225633.18013675467</v>
      </c>
      <c r="W29" s="86">
        <f>W28*(Truck_pct)*Assumptions!$B$23</f>
        <v>235370.41167595334</v>
      </c>
      <c r="X29" s="86">
        <f>X28*(Truck_pct)*Assumptions!$B$23</f>
        <v>245527.85480810344</v>
      </c>
      <c r="Y29" s="86">
        <f>Y28*(Truck_pct)*Assumptions!$B$23</f>
        <v>256123.64382344348</v>
      </c>
      <c r="Z29" s="86">
        <f>Z28*(Truck_pct)*Assumptions!$B$23</f>
        <v>267176.69560005073</v>
      </c>
      <c r="AA29" s="86">
        <f>AA28*(Truck_pct)*Assumptions!$B$23</f>
        <v>278706.74337652989</v>
      </c>
      <c r="AB29" s="86">
        <f>AB28*(Truck_pct)*Assumptions!$B$23</f>
        <v>290734.3719821652</v>
      </c>
      <c r="AC29" s="86">
        <f>AC28*(Truck_pct)*Assumptions!$B$23</f>
        <v>303281.05458743649</v>
      </c>
      <c r="AD29" s="86">
        <f>AD28*(Truck_pct)*Assumptions!$B$23</f>
        <v>316369.19104050746</v>
      </c>
      <c r="AE29" s="86">
        <f>AE28*(Truck_pct)*Assumptions!$B$23</f>
        <v>316369.19104050746</v>
      </c>
      <c r="AF29" s="86">
        <f>AF28*(Truck_pct)*Assumptions!$B$23</f>
        <v>316369.19104050746</v>
      </c>
      <c r="AG29" s="86">
        <f>AG28*(Truck_pct)*Assumptions!$B$23</f>
        <v>316369.19104050746</v>
      </c>
      <c r="AH29" s="86">
        <f>AH28*(Truck_pct)*Assumptions!$B$23</f>
        <v>316369.19104050746</v>
      </c>
      <c r="AI29" s="86">
        <f>AI28*(Truck_pct)*Assumptions!$B$23</f>
        <v>316369.19104050746</v>
      </c>
      <c r="AJ29" s="86">
        <f>AJ28*(Truck_pct)*Assumptions!$B$23</f>
        <v>316369.19104050746</v>
      </c>
      <c r="AK29" s="86">
        <f>AK28*(Truck_pct)*Assumptions!$B$23</f>
        <v>316369.19104050746</v>
      </c>
      <c r="AL29" s="86">
        <f>AL28*(Truck_pct)*Assumptions!$B$23</f>
        <v>316369.19104050746</v>
      </c>
      <c r="AM29" s="86">
        <f>AM28*(Truck_pct)*Assumptions!$B$23</f>
        <v>316369.19104050746</v>
      </c>
      <c r="AN29" s="86">
        <f>AN28*(Truck_pct)*Assumptions!$B$23</f>
        <v>316369.19104050746</v>
      </c>
      <c r="AO29" s="86">
        <f>AO28*(Truck_pct)*Assumptions!$B$23</f>
        <v>316369.19104050746</v>
      </c>
      <c r="AP29" s="86"/>
    </row>
    <row r="30" spans="1:42" s="26" customFormat="1">
      <c r="A30" s="84" t="s">
        <v>108</v>
      </c>
      <c r="C30" s="29"/>
      <c r="E30" s="86"/>
      <c r="F30" s="86"/>
      <c r="G30" s="86"/>
      <c r="H30" s="86"/>
      <c r="I30" s="86"/>
      <c r="J30" s="86"/>
      <c r="K30" s="86"/>
      <c r="L30" s="86">
        <f>M30/($AD30/$M30)^(1/17)</f>
        <v>191080.01438829303</v>
      </c>
      <c r="M30" s="93">
        <f>Transit!U62</f>
        <v>194262.53889946517</v>
      </c>
      <c r="N30" s="86">
        <f t="shared" ref="N30" si="72">M30*($AD30/$M30)^(1/17)</f>
        <v>197498.06980325581</v>
      </c>
      <c r="O30" s="86">
        <f t="shared" ref="O30:AC30" si="73">N30*($AD30/$M30)^(1/17)</f>
        <v>200787.48994523252</v>
      </c>
      <c r="P30" s="86">
        <f t="shared" si="73"/>
        <v>204131.69687515718</v>
      </c>
      <c r="Q30" s="86">
        <f t="shared" si="73"/>
        <v>207531.60309189104</v>
      </c>
      <c r="R30" s="86">
        <f t="shared" si="73"/>
        <v>210988.13629237871</v>
      </c>
      <c r="S30" s="86">
        <f t="shared" si="73"/>
        <v>214502.23962477915</v>
      </c>
      <c r="T30" s="86">
        <f t="shared" si="73"/>
        <v>218074.87194581275</v>
      </c>
      <c r="U30" s="86">
        <f t="shared" si="73"/>
        <v>221707.00808239449</v>
      </c>
      <c r="V30" s="86">
        <f t="shared" si="73"/>
        <v>225399.63909762478</v>
      </c>
      <c r="W30" s="86">
        <f t="shared" si="73"/>
        <v>229153.77256121059</v>
      </c>
      <c r="X30" s="86">
        <f t="shared" si="73"/>
        <v>232970.43282439039</v>
      </c>
      <c r="Y30" s="86">
        <f t="shared" si="73"/>
        <v>236850.66129943824</v>
      </c>
      <c r="Z30" s="86">
        <f t="shared" si="73"/>
        <v>240795.5167438231</v>
      </c>
      <c r="AA30" s="86">
        <f t="shared" si="73"/>
        <v>244806.07554910093</v>
      </c>
      <c r="AB30" s="86">
        <f t="shared" si="73"/>
        <v>248883.4320346184</v>
      </c>
      <c r="AC30" s="86">
        <f t="shared" si="73"/>
        <v>253028.69874610839</v>
      </c>
      <c r="AD30" s="93">
        <f>Transit!U55</f>
        <v>257243.00675925924</v>
      </c>
      <c r="AE30" s="86">
        <f t="shared" ref="AE30:AO31" si="74">AD30</f>
        <v>257243.00675925924</v>
      </c>
      <c r="AF30" s="86">
        <f t="shared" si="74"/>
        <v>257243.00675925924</v>
      </c>
      <c r="AG30" s="86">
        <f t="shared" si="74"/>
        <v>257243.00675925924</v>
      </c>
      <c r="AH30" s="86">
        <f t="shared" si="74"/>
        <v>257243.00675925924</v>
      </c>
      <c r="AI30" s="86">
        <f t="shared" si="74"/>
        <v>257243.00675925924</v>
      </c>
      <c r="AJ30" s="86">
        <f t="shared" si="74"/>
        <v>257243.00675925924</v>
      </c>
      <c r="AK30" s="86">
        <f t="shared" si="74"/>
        <v>257243.00675925924</v>
      </c>
      <c r="AL30" s="86">
        <f t="shared" si="74"/>
        <v>257243.00675925924</v>
      </c>
      <c r="AM30" s="86">
        <f t="shared" si="74"/>
        <v>257243.00675925924</v>
      </c>
      <c r="AN30" s="86">
        <f t="shared" si="74"/>
        <v>257243.00675925924</v>
      </c>
      <c r="AO30" s="86">
        <f t="shared" si="74"/>
        <v>257243.00675925924</v>
      </c>
      <c r="AP30" s="86"/>
    </row>
    <row r="31" spans="1:42" s="26" customFormat="1">
      <c r="A31" s="84" t="s">
        <v>216</v>
      </c>
      <c r="C31" s="29"/>
      <c r="E31" s="93">
        <f>E27</f>
        <v>13470</v>
      </c>
      <c r="F31" s="86">
        <f>F27</f>
        <v>14044.188035243134</v>
      </c>
      <c r="G31" s="86">
        <f t="shared" ref="G31:L31" si="75">G27</f>
        <v>14642.852083835665</v>
      </c>
      <c r="H31" s="86">
        <f t="shared" si="75"/>
        <v>15267.035489060123</v>
      </c>
      <c r="I31" s="86">
        <f t="shared" si="75"/>
        <v>15917.826068974795</v>
      </c>
      <c r="J31" s="86">
        <f t="shared" si="75"/>
        <v>16596.35801224774</v>
      </c>
      <c r="K31" s="86">
        <f t="shared" si="75"/>
        <v>17303.813854804845</v>
      </c>
      <c r="L31" s="86">
        <f t="shared" si="75"/>
        <v>18041.426540736793</v>
      </c>
      <c r="M31" s="86">
        <f>M27/$AD$27*$AD$31</f>
        <v>6062.5031244350375</v>
      </c>
      <c r="N31" s="86">
        <f t="shared" ref="N31:AC31" si="76">N27/$AD$27*$AD$31</f>
        <v>6320.9305006543927</v>
      </c>
      <c r="O31" s="86">
        <f t="shared" si="76"/>
        <v>6590.3739056342847</v>
      </c>
      <c r="P31" s="86">
        <f t="shared" si="76"/>
        <v>6871.3029215506758</v>
      </c>
      <c r="Q31" s="86">
        <f t="shared" si="76"/>
        <v>7164.2071475406974</v>
      </c>
      <c r="R31" s="86">
        <f t="shared" si="76"/>
        <v>7469.5970529691476</v>
      </c>
      <c r="S31" s="86">
        <f t="shared" si="76"/>
        <v>7788.0048670673114</v>
      </c>
      <c r="T31" s="86">
        <f t="shared" si="76"/>
        <v>8119.9855064945823</v>
      </c>
      <c r="U31" s="86">
        <f t="shared" si="76"/>
        <v>8466.1175424394114</v>
      </c>
      <c r="V31" s="86">
        <f t="shared" si="76"/>
        <v>8827.0042089450344</v>
      </c>
      <c r="W31" s="86">
        <f t="shared" si="76"/>
        <v>9203.2744542172695</v>
      </c>
      <c r="X31" s="86">
        <f t="shared" si="76"/>
        <v>9595.5840367466189</v>
      </c>
      <c r="Y31" s="86">
        <f t="shared" si="76"/>
        <v>10004.616668154928</v>
      </c>
      <c r="Z31" s="86">
        <f t="shared" si="76"/>
        <v>10431.085204758387</v>
      </c>
      <c r="AA31" s="86">
        <f t="shared" si="76"/>
        <v>10875.732889923491</v>
      </c>
      <c r="AB31" s="86">
        <f t="shared" si="76"/>
        <v>11339.334649381126</v>
      </c>
      <c r="AC31" s="86">
        <f t="shared" si="76"/>
        <v>11822.69844175622</v>
      </c>
      <c r="AD31" s="93">
        <f>BikePed!U23</f>
        <v>12326.666666666666</v>
      </c>
      <c r="AE31" s="86">
        <f>AD31</f>
        <v>12326.666666666666</v>
      </c>
      <c r="AF31" s="86">
        <f t="shared" si="74"/>
        <v>12326.666666666666</v>
      </c>
      <c r="AG31" s="86">
        <f t="shared" si="74"/>
        <v>12326.666666666666</v>
      </c>
      <c r="AH31" s="86">
        <f t="shared" si="74"/>
        <v>12326.666666666666</v>
      </c>
      <c r="AI31" s="86">
        <f t="shared" si="74"/>
        <v>12326.666666666666</v>
      </c>
      <c r="AJ31" s="86">
        <f t="shared" si="74"/>
        <v>12326.666666666666</v>
      </c>
      <c r="AK31" s="86">
        <f t="shared" si="74"/>
        <v>12326.666666666666</v>
      </c>
      <c r="AL31" s="86">
        <f t="shared" si="74"/>
        <v>12326.666666666666</v>
      </c>
      <c r="AM31" s="86">
        <f t="shared" si="74"/>
        <v>12326.666666666666</v>
      </c>
      <c r="AN31" s="86">
        <f t="shared" si="74"/>
        <v>12326.666666666666</v>
      </c>
      <c r="AO31" s="86">
        <f t="shared" si="74"/>
        <v>12326.666666666666</v>
      </c>
      <c r="AP31" s="86"/>
    </row>
    <row r="32" spans="1:42" s="26" customFormat="1">
      <c r="C32" s="29"/>
      <c r="I32" s="30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</row>
    <row r="33" spans="1:41">
      <c r="A33" s="36" t="s">
        <v>14</v>
      </c>
      <c r="C33" s="13"/>
    </row>
    <row r="34" spans="1:41" s="46" customFormat="1">
      <c r="A34" s="84" t="s">
        <v>174</v>
      </c>
      <c r="C34" s="47">
        <f>ROUND(G34+NPV(Assumptions!$B$4,H34:AO34),-3)</f>
        <v>2083824000</v>
      </c>
      <c r="E34" s="53">
        <v>0</v>
      </c>
      <c r="F34" s="53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49">
        <f>L24*Assumptions!$C$29</f>
        <v>196519187.62000242</v>
      </c>
      <c r="M34" s="49">
        <f>M24*Assumptions!$C$29</f>
        <v>198981699.383746</v>
      </c>
      <c r="N34" s="49">
        <f>N24*Assumptions!$C$29</f>
        <v>201475068.00304663</v>
      </c>
      <c r="O34" s="49">
        <f>O24*Assumptions!$C$29</f>
        <v>203999680.1341424</v>
      </c>
      <c r="P34" s="49">
        <f>P24*Assumptions!$C$29</f>
        <v>206555927.2783227</v>
      </c>
      <c r="Q34" s="49">
        <f>Q24*Assumptions!$C$29</f>
        <v>209144205.84263965</v>
      </c>
      <c r="R34" s="49">
        <f>R24*Assumptions!$C$29</f>
        <v>211764917.20138076</v>
      </c>
      <c r="S34" s="49">
        <f>S24*Assumptions!$C$29</f>
        <v>214418467.75831127</v>
      </c>
      <c r="T34" s="49">
        <f>T24*Assumptions!$C$29</f>
        <v>217105269.00969693</v>
      </c>
      <c r="U34" s="49">
        <f>U24*Assumptions!$C$29</f>
        <v>219825737.6081163</v>
      </c>
      <c r="V34" s="49">
        <f>V24*Assumptions!$C$29</f>
        <v>222580295.42707253</v>
      </c>
      <c r="W34" s="49">
        <f>W24*Assumptions!$C$29</f>
        <v>225369369.62641498</v>
      </c>
      <c r="X34" s="49">
        <f>X24*Assumptions!$C$29</f>
        <v>228193392.71858066</v>
      </c>
      <c r="Y34" s="49">
        <f>Y24*Assumptions!$C$29</f>
        <v>231052802.63566539</v>
      </c>
      <c r="Z34" s="49">
        <f>Z24*Assumptions!$C$29</f>
        <v>233948042.79733568</v>
      </c>
      <c r="AA34" s="49">
        <f>AA24*Assumptions!$C$29</f>
        <v>236879562.17959163</v>
      </c>
      <c r="AB34" s="49">
        <f>AB24*Assumptions!$C$29</f>
        <v>239847815.38439119</v>
      </c>
      <c r="AC34" s="49">
        <f>AC24*Assumptions!$C$29</f>
        <v>242853262.71014714</v>
      </c>
      <c r="AD34" s="49">
        <f>AD24*Assumptions!$C$29</f>
        <v>245896370.22310787</v>
      </c>
      <c r="AE34" s="49">
        <f>AE24*Assumptions!$C$29</f>
        <v>245896370.22310787</v>
      </c>
      <c r="AF34" s="49">
        <f>AF24*Assumptions!$C$29</f>
        <v>245896370.22310787</v>
      </c>
      <c r="AG34" s="49">
        <f>AG24*Assumptions!$C$29</f>
        <v>245896370.22310787</v>
      </c>
      <c r="AH34" s="49">
        <f>AH24*Assumptions!$C$29</f>
        <v>245896370.22310787</v>
      </c>
      <c r="AI34" s="49">
        <f>AI24*Assumptions!$C$29</f>
        <v>245896370.22310787</v>
      </c>
      <c r="AJ34" s="49">
        <f>AJ24*Assumptions!$C$29</f>
        <v>245896370.22310787</v>
      </c>
      <c r="AK34" s="49">
        <f>AK24*Assumptions!$C$29</f>
        <v>245896370.22310787</v>
      </c>
      <c r="AL34" s="49">
        <f>AL24*Assumptions!$C$29</f>
        <v>245896370.22310787</v>
      </c>
      <c r="AM34" s="49">
        <f>AM24*Assumptions!$C$29</f>
        <v>245896370.22310787</v>
      </c>
      <c r="AN34" s="49">
        <f>AN24*Assumptions!$C$29</f>
        <v>245896370.22310787</v>
      </c>
      <c r="AO34" s="49">
        <f>AO24*Assumptions!$C$29</f>
        <v>245896370.22310787</v>
      </c>
    </row>
    <row r="35" spans="1:41" s="46" customFormat="1">
      <c r="A35" s="84" t="s">
        <v>175</v>
      </c>
      <c r="C35" s="47">
        <f>ROUND(G35+NPV(Assumptions!$B$4,H35:AO35),-3)</f>
        <v>98658000</v>
      </c>
      <c r="E35" s="53">
        <v>0</v>
      </c>
      <c r="F35" s="53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49">
        <f>L25*Assumptions!$C$31</f>
        <v>9304121.2679280862</v>
      </c>
      <c r="M35" s="49">
        <f>M25*Assumptions!$C$31</f>
        <v>9420707.8890669476</v>
      </c>
      <c r="N35" s="49">
        <f>N25*Assumptions!$C$31</f>
        <v>9538755.4155226201</v>
      </c>
      <c r="O35" s="49">
        <f>O25*Assumptions!$C$31</f>
        <v>9658282.1533779446</v>
      </c>
      <c r="P35" s="49">
        <f>P25*Assumptions!$C$31</f>
        <v>9779306.6381027494</v>
      </c>
      <c r="Q35" s="49">
        <f>Q25*Assumptions!$C$31</f>
        <v>9901847.6374282185</v>
      </c>
      <c r="R35" s="49">
        <f>R25*Assumptions!$C$31</f>
        <v>10025924.154257262</v>
      </c>
      <c r="S35" s="49">
        <f>S25*Assumptions!$C$31</f>
        <v>10151555.4296114</v>
      </c>
      <c r="T35" s="49">
        <f>T25*Assumptions!$C$31</f>
        <v>10278760.945614502</v>
      </c>
      <c r="U35" s="49">
        <f>U25*Assumptions!$C$31</f>
        <v>10407560.428513993</v>
      </c>
      <c r="V35" s="49">
        <f>V25*Assumptions!$C$31</f>
        <v>10537973.851739844</v>
      </c>
      <c r="W35" s="49">
        <f>W25*Assumptions!$C$31</f>
        <v>10670021.439001959</v>
      </c>
      <c r="X35" s="49">
        <f>X25*Assumptions!$C$31</f>
        <v>10803723.667426316</v>
      </c>
      <c r="Y35" s="49">
        <f>Y25*Assumptions!$C$31</f>
        <v>10939101.270730453</v>
      </c>
      <c r="Z35" s="49">
        <f>Z25*Assumptions!$C$31</f>
        <v>11076175.242438724</v>
      </c>
      <c r="AA35" s="49">
        <f>AA25*Assumptions!$C$31</f>
        <v>11214966.839137826</v>
      </c>
      <c r="AB35" s="49">
        <f>AB25*Assumptions!$C$31</f>
        <v>11355497.58377317</v>
      </c>
      <c r="AC35" s="49">
        <f>AC25*Assumptions!$C$31</f>
        <v>11497789.268986493</v>
      </c>
      <c r="AD35" s="49">
        <f>AD25*Assumptions!$C$31</f>
        <v>11641863.960495386</v>
      </c>
      <c r="AE35" s="49">
        <f>AE25*Assumptions!$C$31</f>
        <v>11641863.960495386</v>
      </c>
      <c r="AF35" s="49">
        <f>AF25*Assumptions!$C$31</f>
        <v>11641863.960495386</v>
      </c>
      <c r="AG35" s="49">
        <f>AG25*Assumptions!$C$31</f>
        <v>11641863.960495386</v>
      </c>
      <c r="AH35" s="49">
        <f>AH25*Assumptions!$C$31</f>
        <v>11641863.960495386</v>
      </c>
      <c r="AI35" s="49">
        <f>AI25*Assumptions!$C$31</f>
        <v>11641863.960495386</v>
      </c>
      <c r="AJ35" s="49">
        <f>AJ25*Assumptions!$C$31</f>
        <v>11641863.960495386</v>
      </c>
      <c r="AK35" s="49">
        <f>AK25*Assumptions!$C$31</f>
        <v>11641863.960495386</v>
      </c>
      <c r="AL35" s="49">
        <f>AL25*Assumptions!$C$31</f>
        <v>11641863.960495386</v>
      </c>
      <c r="AM35" s="49">
        <f>AM25*Assumptions!$C$31</f>
        <v>11641863.960495386</v>
      </c>
      <c r="AN35" s="49">
        <f>AN25*Assumptions!$C$31</f>
        <v>11641863.960495386</v>
      </c>
      <c r="AO35" s="49">
        <f>AO25*Assumptions!$C$31</f>
        <v>11641863.960495386</v>
      </c>
    </row>
    <row r="36" spans="1:41" s="46" customFormat="1">
      <c r="A36" s="84" t="s">
        <v>176</v>
      </c>
      <c r="C36" s="47">
        <f>ROUND(G36+NPV(Assumptions!$B$4,H36:AO36),-3)</f>
        <v>77280000</v>
      </c>
      <c r="E36" s="53">
        <v>0</v>
      </c>
      <c r="F36" s="53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49">
        <f>L26*Assumptions!$B$29</f>
        <v>4188151.17692693</v>
      </c>
      <c r="M36" s="49">
        <f>M26*Assumptions!$B$29</f>
        <v>4472128.9334516665</v>
      </c>
      <c r="N36" s="49">
        <f>N26*Assumptions!$B$29</f>
        <v>4775361.8130113827</v>
      </c>
      <c r="O36" s="49">
        <f>O26*Assumptions!$B$29</f>
        <v>5099155.4099865314</v>
      </c>
      <c r="P36" s="49">
        <f>P26*Assumptions!$B$29</f>
        <v>5444903.8446362708</v>
      </c>
      <c r="Q36" s="49">
        <f>Q26*Assumptions!$B$29</f>
        <v>5814095.7655991791</v>
      </c>
      <c r="R36" s="49">
        <f>R26*Assumptions!$B$29</f>
        <v>6208320.7593937702</v>
      </c>
      <c r="S36" s="49">
        <f>S26*Assumptions!$B$29</f>
        <v>6629276.194515436</v>
      </c>
      <c r="T36" s="49">
        <f>T26*Assumptions!$B$29</f>
        <v>7078774.5295976661</v>
      </c>
      <c r="U36" s="49">
        <f>U26*Assumptions!$B$29</f>
        <v>7558751.1171034202</v>
      </c>
      <c r="V36" s="49">
        <f>V26*Assumptions!$B$29</f>
        <v>8071272.5361461034</v>
      </c>
      <c r="W36" s="49">
        <f>W26*Assumptions!$B$29</f>
        <v>8618545.4903178066</v>
      </c>
      <c r="X36" s="49">
        <f>X26*Assumptions!$B$29</f>
        <v>9202926.3088351283</v>
      </c>
      <c r="Y36" s="49">
        <f>Y26*Assumptions!$B$29</f>
        <v>9826931.0919105783</v>
      </c>
      <c r="Z36" s="49">
        <f>Z26*Assumptions!$B$29</f>
        <v>10493246.544031287</v>
      </c>
      <c r="AA36" s="49">
        <f>AA26*Assumptions!$B$29</f>
        <v>11204741.541788608</v>
      </c>
      <c r="AB36" s="49">
        <f>AB26*Assumptions!$B$29</f>
        <v>11964479.486064862</v>
      </c>
      <c r="AC36" s="49">
        <f>AC26*Assumptions!$B$29</f>
        <v>12775731.4917606</v>
      </c>
      <c r="AD36" s="49">
        <f>AD26*Assumptions!$B$29</f>
        <v>13641990.471851852</v>
      </c>
      <c r="AE36" s="49">
        <f>AE26*Assumptions!$B$29</f>
        <v>13641990.471851852</v>
      </c>
      <c r="AF36" s="49">
        <f>AF26*Assumptions!$B$29</f>
        <v>13641990.471851852</v>
      </c>
      <c r="AG36" s="49">
        <f>AG26*Assumptions!$B$29</f>
        <v>13641990.471851852</v>
      </c>
      <c r="AH36" s="49">
        <f>AH26*Assumptions!$B$29</f>
        <v>13641990.471851852</v>
      </c>
      <c r="AI36" s="49">
        <f>AI26*Assumptions!$B$29</f>
        <v>13641990.471851852</v>
      </c>
      <c r="AJ36" s="49">
        <f>AJ26*Assumptions!$B$29</f>
        <v>13641990.471851852</v>
      </c>
      <c r="AK36" s="49">
        <f>AK26*Assumptions!$B$29</f>
        <v>13641990.471851852</v>
      </c>
      <c r="AL36" s="49">
        <f>AL26*Assumptions!$B$29</f>
        <v>13641990.471851852</v>
      </c>
      <c r="AM36" s="49">
        <f>AM26*Assumptions!$B$29</f>
        <v>13641990.471851852</v>
      </c>
      <c r="AN36" s="49">
        <f>AN26*Assumptions!$B$29</f>
        <v>13641990.471851852</v>
      </c>
      <c r="AO36" s="49">
        <f>AO26*Assumptions!$B$29</f>
        <v>13641990.471851852</v>
      </c>
    </row>
    <row r="37" spans="1:41" s="46" customFormat="1">
      <c r="A37" s="84" t="s">
        <v>177</v>
      </c>
      <c r="C37" s="47">
        <f>ROUND(G37+NPV(Assumptions!$B$4,H37:AO37),-3)</f>
        <v>7842000</v>
      </c>
      <c r="E37" s="53">
        <v>0</v>
      </c>
      <c r="F37" s="53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49">
        <f>L27*Assumptions!$C$30</f>
        <v>552630.8862594628</v>
      </c>
      <c r="M37" s="49">
        <f>M27*Assumptions!$C$30</f>
        <v>576187.97926584678</v>
      </c>
      <c r="N37" s="49">
        <f>N27*Assumptions!$C$30</f>
        <v>600749.24457730702</v>
      </c>
      <c r="O37" s="49">
        <f>O27*Assumptions!$C$30</f>
        <v>626357.4872215268</v>
      </c>
      <c r="P37" s="49">
        <f>P27*Assumptions!$C$30</f>
        <v>653057.33688355761</v>
      </c>
      <c r="Q37" s="49">
        <f>Q27*Assumptions!$C$30</f>
        <v>680895.32568580587</v>
      </c>
      <c r="R37" s="49">
        <f>R27*Assumptions!$C$30</f>
        <v>709919.96928356146</v>
      </c>
      <c r="S37" s="49">
        <f>S27*Assumptions!$C$30</f>
        <v>740181.85141739924</v>
      </c>
      <c r="T37" s="49">
        <f>T27*Assumptions!$C$30</f>
        <v>771733.71206981072</v>
      </c>
      <c r="U37" s="49">
        <f>U27*Assumptions!$C$30</f>
        <v>804630.53937970346</v>
      </c>
      <c r="V37" s="49">
        <f>V27*Assumptions!$C$30</f>
        <v>838929.66547495627</v>
      </c>
      <c r="W37" s="49">
        <f>W27*Assumptions!$C$30</f>
        <v>874690.86639004492</v>
      </c>
      <c r="X37" s="49">
        <f>X27*Assumptions!$C$30</f>
        <v>911976.46624287451</v>
      </c>
      <c r="Y37" s="49">
        <f>Y27*Assumptions!$C$30</f>
        <v>950851.44585237512</v>
      </c>
      <c r="Z37" s="49">
        <f>Z27*Assumptions!$C$30</f>
        <v>991383.55598615902</v>
      </c>
      <c r="AA37" s="49">
        <f>AA27*Assumptions!$C$30</f>
        <v>1033643.4354356056</v>
      </c>
      <c r="AB37" s="49">
        <f>AB27*Assumptions!$C$30</f>
        <v>1077704.7341241532</v>
      </c>
      <c r="AC37" s="49">
        <f>AC27*Assumptions!$C$30</f>
        <v>1123644.2414633492</v>
      </c>
      <c r="AD37" s="49">
        <f>AD27*Assumptions!$C$30</f>
        <v>1171542.0201803551</v>
      </c>
      <c r="AE37" s="49">
        <f>AE27*Assumptions!$C$30</f>
        <v>1171542.0201803551</v>
      </c>
      <c r="AF37" s="49">
        <f>AF27*Assumptions!$C$30</f>
        <v>1171542.0201803551</v>
      </c>
      <c r="AG37" s="49">
        <f>AG27*Assumptions!$C$30</f>
        <v>1171542.0201803551</v>
      </c>
      <c r="AH37" s="49">
        <f>AH27*Assumptions!$C$30</f>
        <v>1171542.0201803551</v>
      </c>
      <c r="AI37" s="49">
        <f>AI27*Assumptions!$C$30</f>
        <v>1171542.0201803551</v>
      </c>
      <c r="AJ37" s="49">
        <f>AJ27*Assumptions!$C$30</f>
        <v>1171542.0201803551</v>
      </c>
      <c r="AK37" s="49">
        <f>AK27*Assumptions!$C$30</f>
        <v>1171542.0201803551</v>
      </c>
      <c r="AL37" s="49">
        <f>AL27*Assumptions!$C$30</f>
        <v>1171542.0201803551</v>
      </c>
      <c r="AM37" s="49">
        <f>AM27*Assumptions!$C$30</f>
        <v>1171542.0201803551</v>
      </c>
      <c r="AN37" s="49">
        <f>AN27*Assumptions!$C$30</f>
        <v>1171542.0201803551</v>
      </c>
      <c r="AO37" s="49">
        <f>AO27*Assumptions!$C$30</f>
        <v>1171542.0201803551</v>
      </c>
    </row>
    <row r="38" spans="1:41" s="46" customFormat="1">
      <c r="A38" s="84" t="s">
        <v>106</v>
      </c>
      <c r="C38" s="47">
        <f>ROUND(G38+NPV(Assumptions!$B$4,H38:AO38),-3)</f>
        <v>1323315000</v>
      </c>
      <c r="E38" s="53">
        <v>0</v>
      </c>
      <c r="F38" s="53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49">
        <f>L28*Assumptions!$C$29</f>
        <v>92758097.938019544</v>
      </c>
      <c r="M38" s="49">
        <f>M28*Assumptions!$C$29</f>
        <v>96761086.666054741</v>
      </c>
      <c r="N38" s="49">
        <f>N28*Assumptions!$C$29</f>
        <v>100936824.93416224</v>
      </c>
      <c r="O38" s="49">
        <f>O28*Assumptions!$C$29</f>
        <v>105292767.77297613</v>
      </c>
      <c r="P38" s="49">
        <f>P28*Assumptions!$C$29</f>
        <v>109836691.93602318</v>
      </c>
      <c r="Q38" s="49">
        <f>Q28*Assumptions!$C$29</f>
        <v>114576709.78371949</v>
      </c>
      <c r="R38" s="49">
        <f>R28*Assumptions!$C$29</f>
        <v>119521283.7665329</v>
      </c>
      <c r="S38" s="49">
        <f>S28*Assumptions!$C$29</f>
        <v>124679241.5331682</v>
      </c>
      <c r="T38" s="49">
        <f>T28*Assumptions!$C$29</f>
        <v>130059791.69074839</v>
      </c>
      <c r="U38" s="49">
        <f>U28*Assumptions!$C$29</f>
        <v>135672540.24512851</v>
      </c>
      <c r="V38" s="49">
        <f>V28*Assumptions!$C$29</f>
        <v>141527507.75069386</v>
      </c>
      <c r="W38" s="49">
        <f>W28*Assumptions!$C$29</f>
        <v>147635147.20025972</v>
      </c>
      <c r="X38" s="49">
        <f>X28*Assumptions!$C$29</f>
        <v>154006362.68701267</v>
      </c>
      <c r="Y38" s="49">
        <f>Y28*Assumptions!$C$29</f>
        <v>160652528.87181029</v>
      </c>
      <c r="Z38" s="49">
        <f>Z28*Assumptions!$C$29</f>
        <v>167585511.29059505</v>
      </c>
      <c r="AA38" s="49">
        <f>AA28*Assumptions!$C$29</f>
        <v>174817687.53817743</v>
      </c>
      <c r="AB38" s="49">
        <f>AB28*Assumptions!$C$29</f>
        <v>182361969.36620826</v>
      </c>
      <c r="AC38" s="49">
        <f>AC28*Assumptions!$C$29</f>
        <v>190231825.73479193</v>
      </c>
      <c r="AD38" s="49">
        <f>AD28*Assumptions!$C$29</f>
        <v>198441306.85889551</v>
      </c>
      <c r="AE38" s="49">
        <f>AE28*Assumptions!$C$29</f>
        <v>198441306.85889551</v>
      </c>
      <c r="AF38" s="49">
        <f>AF28*Assumptions!$C$29</f>
        <v>198441306.85889551</v>
      </c>
      <c r="AG38" s="49">
        <f>AG28*Assumptions!$C$29</f>
        <v>198441306.85889551</v>
      </c>
      <c r="AH38" s="49">
        <f>AH28*Assumptions!$C$29</f>
        <v>198441306.85889551</v>
      </c>
      <c r="AI38" s="49">
        <f>AI28*Assumptions!$C$29</f>
        <v>198441306.85889551</v>
      </c>
      <c r="AJ38" s="49">
        <f>AJ28*Assumptions!$C$29</f>
        <v>198441306.85889551</v>
      </c>
      <c r="AK38" s="49">
        <f>AK28*Assumptions!$C$29</f>
        <v>198441306.85889551</v>
      </c>
      <c r="AL38" s="49">
        <f>AL28*Assumptions!$C$29</f>
        <v>198441306.85889551</v>
      </c>
      <c r="AM38" s="49">
        <f>AM28*Assumptions!$C$29</f>
        <v>198441306.85889551</v>
      </c>
      <c r="AN38" s="49">
        <f>AN28*Assumptions!$C$29</f>
        <v>198441306.85889551</v>
      </c>
      <c r="AO38" s="49">
        <f>AO28*Assumptions!$C$29</f>
        <v>198441306.85889551</v>
      </c>
    </row>
    <row r="39" spans="1:41" s="46" customFormat="1">
      <c r="A39" s="84" t="s">
        <v>107</v>
      </c>
      <c r="C39" s="47">
        <f>ROUND(G39+NPV(Assumptions!$B$4,H39:AO39),-3)</f>
        <v>62652000</v>
      </c>
      <c r="E39" s="53">
        <v>0</v>
      </c>
      <c r="F39" s="53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49">
        <f>L29*Assumptions!$C$31</f>
        <v>4391594.5422412353</v>
      </c>
      <c r="M39" s="49">
        <f>M29*Assumptions!$C$31</f>
        <v>4581114.4207367944</v>
      </c>
      <c r="N39" s="49">
        <f>N29*Assumptions!$C$31</f>
        <v>4778813.0561734783</v>
      </c>
      <c r="O39" s="49">
        <f>O29*Assumptions!$C$31</f>
        <v>4985043.4039543495</v>
      </c>
      <c r="P39" s="49">
        <f>P29*Assumptions!$C$31</f>
        <v>5200173.6513223946</v>
      </c>
      <c r="Q39" s="49">
        <f>Q29*Assumptions!$C$31</f>
        <v>5424587.8746927185</v>
      </c>
      <c r="R39" s="49">
        <f>R29*Assumptions!$C$31</f>
        <v>5658686.7253519986</v>
      </c>
      <c r="S39" s="49">
        <f>S29*Assumptions!$C$31</f>
        <v>5902888.144749389</v>
      </c>
      <c r="T39" s="49">
        <f>T29*Assumptions!$C$31</f>
        <v>6157628.1106559047</v>
      </c>
      <c r="U39" s="49">
        <f>U29*Assumptions!$C$31</f>
        <v>6423361.4155244296</v>
      </c>
      <c r="V39" s="49">
        <f>V29*Assumptions!$C$31</f>
        <v>6700562.4784399457</v>
      </c>
      <c r="W39" s="49">
        <f>W29*Assumptions!$C$31</f>
        <v>6989726.1921095932</v>
      </c>
      <c r="X39" s="49">
        <f>X29*Assumptions!$C$31</f>
        <v>7291368.8064047135</v>
      </c>
      <c r="Y39" s="49">
        <f>Y29*Assumptions!$C$31</f>
        <v>7606028.8500322616</v>
      </c>
      <c r="Z39" s="49">
        <f>Z29*Assumptions!$C$31</f>
        <v>7934268.0919810757</v>
      </c>
      <c r="AA39" s="49">
        <f>AA29*Assumptions!$C$31</f>
        <v>8276672.5444595227</v>
      </c>
      <c r="AB39" s="49">
        <f>AB29*Assumptions!$C$31</f>
        <v>8633853.5091150086</v>
      </c>
      <c r="AC39" s="49">
        <f>AC29*Assumptions!$C$31</f>
        <v>9006448.6684032902</v>
      </c>
      <c r="AD39" s="49">
        <f>AD29*Assumptions!$C$31</f>
        <v>9395123.2240559496</v>
      </c>
      <c r="AE39" s="49">
        <f>AE29*Assumptions!$C$31</f>
        <v>9395123.2240559496</v>
      </c>
      <c r="AF39" s="49">
        <f>AF29*Assumptions!$C$31</f>
        <v>9395123.2240559496</v>
      </c>
      <c r="AG39" s="49">
        <f>AG29*Assumptions!$C$31</f>
        <v>9395123.2240559496</v>
      </c>
      <c r="AH39" s="49">
        <f>AH29*Assumptions!$C$31</f>
        <v>9395123.2240559496</v>
      </c>
      <c r="AI39" s="49">
        <f>AI29*Assumptions!$C$31</f>
        <v>9395123.2240559496</v>
      </c>
      <c r="AJ39" s="49">
        <f>AJ29*Assumptions!$C$31</f>
        <v>9395123.2240559496</v>
      </c>
      <c r="AK39" s="49">
        <f>AK29*Assumptions!$C$31</f>
        <v>9395123.2240559496</v>
      </c>
      <c r="AL39" s="49">
        <f>AL29*Assumptions!$C$31</f>
        <v>9395123.2240559496</v>
      </c>
      <c r="AM39" s="49">
        <f>AM29*Assumptions!$C$31</f>
        <v>9395123.2240559496</v>
      </c>
      <c r="AN39" s="49">
        <f>AN29*Assumptions!$C$31</f>
        <v>9395123.2240559496</v>
      </c>
      <c r="AO39" s="49">
        <f>AO29*Assumptions!$C$31</f>
        <v>9395123.2240559496</v>
      </c>
    </row>
    <row r="40" spans="1:41" s="46" customFormat="1">
      <c r="A40" s="84" t="s">
        <v>108</v>
      </c>
      <c r="C40" s="47">
        <f>ROUND(G40+NPV(Assumptions!$B$4,H40:AO40),-3)</f>
        <v>31160000</v>
      </c>
      <c r="E40" s="53">
        <v>0</v>
      </c>
      <c r="F40" s="53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49">
        <f>L30*Assumptions!$B$29</f>
        <v>2827984.2129467367</v>
      </c>
      <c r="M40" s="49">
        <f>M30*Assumptions!$B$29</f>
        <v>2875085.5757120848</v>
      </c>
      <c r="N40" s="49">
        <f>N30*Assumptions!$B$29</f>
        <v>2922971.4330881862</v>
      </c>
      <c r="O40" s="49">
        <f>O30*Assumptions!$B$29</f>
        <v>2971654.8511894415</v>
      </c>
      <c r="P40" s="49">
        <f>P30*Assumptions!$B$29</f>
        <v>3021149.1137523265</v>
      </c>
      <c r="Q40" s="49">
        <f>Q30*Assumptions!$B$29</f>
        <v>3071467.7257599877</v>
      </c>
      <c r="R40" s="49">
        <f>R30*Assumptions!$B$29</f>
        <v>3122624.4171272051</v>
      </c>
      <c r="S40" s="49">
        <f>S30*Assumptions!$B$29</f>
        <v>3174633.1464467314</v>
      </c>
      <c r="T40" s="49">
        <f>T30*Assumptions!$B$29</f>
        <v>3227508.1047980287</v>
      </c>
      <c r="U40" s="49">
        <f>U30*Assumptions!$B$29</f>
        <v>3281263.7196194385</v>
      </c>
      <c r="V40" s="49">
        <f>V30*Assumptions!$B$29</f>
        <v>3335914.6586448471</v>
      </c>
      <c r="W40" s="49">
        <f>W30*Assumptions!$B$29</f>
        <v>3391475.8339059167</v>
      </c>
      <c r="X40" s="49">
        <f>X30*Assumptions!$B$29</f>
        <v>3447962.4058009777</v>
      </c>
      <c r="Y40" s="49">
        <f>Y30*Assumptions!$B$29</f>
        <v>3505389.7872316861</v>
      </c>
      <c r="Z40" s="49">
        <f>Z30*Assumptions!$B$29</f>
        <v>3563773.6478085821</v>
      </c>
      <c r="AA40" s="49">
        <f>AA30*Assumptions!$B$29</f>
        <v>3623129.9181266939</v>
      </c>
      <c r="AB40" s="49">
        <f>AB30*Assumptions!$B$29</f>
        <v>3683474.7941123527</v>
      </c>
      <c r="AC40" s="49">
        <f>AC30*Assumptions!$B$29</f>
        <v>3744824.7414424042</v>
      </c>
      <c r="AD40" s="49">
        <f>AD30*Assumptions!$B$29</f>
        <v>3807196.5000370368</v>
      </c>
      <c r="AE40" s="49">
        <f>AE30*Assumptions!$B$29</f>
        <v>3807196.5000370368</v>
      </c>
      <c r="AF40" s="49">
        <f>AF30*Assumptions!$B$29</f>
        <v>3807196.5000370368</v>
      </c>
      <c r="AG40" s="49">
        <f>AG30*Assumptions!$B$29</f>
        <v>3807196.5000370368</v>
      </c>
      <c r="AH40" s="49">
        <f>AH30*Assumptions!$B$29</f>
        <v>3807196.5000370368</v>
      </c>
      <c r="AI40" s="49">
        <f>AI30*Assumptions!$B$29</f>
        <v>3807196.5000370368</v>
      </c>
      <c r="AJ40" s="49">
        <f>AJ30*Assumptions!$B$29</f>
        <v>3807196.5000370368</v>
      </c>
      <c r="AK40" s="49">
        <f>AK30*Assumptions!$B$29</f>
        <v>3807196.5000370368</v>
      </c>
      <c r="AL40" s="49">
        <f>AL30*Assumptions!$B$29</f>
        <v>3807196.5000370368</v>
      </c>
      <c r="AM40" s="49">
        <f>AM30*Assumptions!$B$29</f>
        <v>3807196.5000370368</v>
      </c>
      <c r="AN40" s="49">
        <f>AN30*Assumptions!$B$29</f>
        <v>3807196.5000370368</v>
      </c>
      <c r="AO40" s="49">
        <f>AO30*Assumptions!$B$29</f>
        <v>3807196.5000370368</v>
      </c>
    </row>
    <row r="41" spans="1:41" s="46" customFormat="1">
      <c r="A41" s="84" t="s">
        <v>109</v>
      </c>
      <c r="C41" s="47">
        <f>ROUND(G41+NPV(Assumptions!$B$4,H41:AO41),-3)</f>
        <v>2794000</v>
      </c>
      <c r="E41" s="53">
        <v>0</v>
      </c>
      <c r="F41" s="53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49">
        <f>L31*Assumptions!$C$30</f>
        <v>552630.8862594628</v>
      </c>
      <c r="M41" s="49">
        <f>M31*Assumptions!$C$30</f>
        <v>185701.86049547681</v>
      </c>
      <c r="N41" s="49">
        <f>N31*Assumptions!$C$30</f>
        <v>193617.80603511247</v>
      </c>
      <c r="O41" s="49">
        <f>O31*Assumptions!$C$30</f>
        <v>201871.18596350055</v>
      </c>
      <c r="P41" s="49">
        <f>P31*Assumptions!$C$30</f>
        <v>210476.38415508068</v>
      </c>
      <c r="Q41" s="49">
        <f>Q31*Assumptions!$C$30</f>
        <v>219448.39762821246</v>
      </c>
      <c r="R41" s="49">
        <f>R31*Assumptions!$C$30</f>
        <v>228802.86268176834</v>
      </c>
      <c r="S41" s="49">
        <f>S31*Assumptions!$C$30</f>
        <v>238556.08214585515</v>
      </c>
      <c r="T41" s="49">
        <f>T31*Assumptions!$C$30</f>
        <v>248725.05379415717</v>
      </c>
      <c r="U41" s="49">
        <f>U31*Assumptions!$C$30</f>
        <v>259327.49996741701</v>
      </c>
      <c r="V41" s="49">
        <f>V31*Assumptions!$C$30</f>
        <v>270381.89845968172</v>
      </c>
      <c r="W41" s="49">
        <f>W31*Assumptions!$C$30</f>
        <v>281907.51472114219</v>
      </c>
      <c r="X41" s="49">
        <f>X31*Assumptions!$C$30</f>
        <v>293924.43543368916</v>
      </c>
      <c r="Y41" s="49">
        <f>Y31*Assumptions!$C$30</f>
        <v>306453.60351769935</v>
      </c>
      <c r="Z41" s="49">
        <f>Z31*Assumptions!$C$30</f>
        <v>319516.85463106283</v>
      </c>
      <c r="AA41" s="49">
        <f>AA31*Assumptions!$C$30</f>
        <v>333136.95522406034</v>
      </c>
      <c r="AB41" s="49">
        <f>AB31*Assumptions!$C$30</f>
        <v>347337.64221641258</v>
      </c>
      <c r="AC41" s="49">
        <f>AC31*Assumptions!$C$30</f>
        <v>362143.66436564969</v>
      </c>
      <c r="AD41" s="49">
        <f>AD31*Assumptions!$C$30</f>
        <v>377580.82539889769</v>
      </c>
      <c r="AE41" s="49">
        <f>AE31*Assumptions!$C$30</f>
        <v>377580.82539889769</v>
      </c>
      <c r="AF41" s="49">
        <f>AF31*Assumptions!$C$30</f>
        <v>377580.82539889769</v>
      </c>
      <c r="AG41" s="49">
        <f>AG31*Assumptions!$C$30</f>
        <v>377580.82539889769</v>
      </c>
      <c r="AH41" s="49">
        <f>AH31*Assumptions!$C$30</f>
        <v>377580.82539889769</v>
      </c>
      <c r="AI41" s="49">
        <f>AI31*Assumptions!$C$30</f>
        <v>377580.82539889769</v>
      </c>
      <c r="AJ41" s="49">
        <f>AJ31*Assumptions!$C$30</f>
        <v>377580.82539889769</v>
      </c>
      <c r="AK41" s="49">
        <f>AK31*Assumptions!$C$30</f>
        <v>377580.82539889769</v>
      </c>
      <c r="AL41" s="49">
        <f>AL31*Assumptions!$C$30</f>
        <v>377580.82539889769</v>
      </c>
      <c r="AM41" s="49">
        <f>AM31*Assumptions!$C$30</f>
        <v>377580.82539889769</v>
      </c>
      <c r="AN41" s="49">
        <f>AN31*Assumptions!$C$30</f>
        <v>377580.82539889769</v>
      </c>
      <c r="AO41" s="49">
        <f>AO31*Assumptions!$C$30</f>
        <v>377580.82539889769</v>
      </c>
    </row>
    <row r="42" spans="1:41" s="46" customFormat="1">
      <c r="A42" s="48"/>
      <c r="C42" s="47"/>
      <c r="E42" s="52"/>
      <c r="F42" s="52"/>
      <c r="G42" s="51"/>
      <c r="H42" s="51"/>
      <c r="I42" s="51"/>
      <c r="J42" s="51"/>
      <c r="K42" s="51"/>
      <c r="L42" s="51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50"/>
    </row>
    <row r="43" spans="1:41" s="95" customFormat="1">
      <c r="A43" s="94" t="s">
        <v>111</v>
      </c>
      <c r="C43" s="96">
        <f>ROUND(G43+NPV(Assumptions!$B$4,H43:AO43),-3)</f>
        <v>847682000</v>
      </c>
      <c r="E43" s="97">
        <f t="shared" ref="E43:L43" si="77">SUM(E34:E37)-SUM(E38:E41)</f>
        <v>0</v>
      </c>
      <c r="F43" s="97">
        <f t="shared" si="77"/>
        <v>0</v>
      </c>
      <c r="G43" s="97">
        <f t="shared" si="77"/>
        <v>0</v>
      </c>
      <c r="H43" s="97">
        <f t="shared" si="77"/>
        <v>0</v>
      </c>
      <c r="I43" s="97">
        <f t="shared" si="77"/>
        <v>0</v>
      </c>
      <c r="J43" s="97">
        <f t="shared" si="77"/>
        <v>0</v>
      </c>
      <c r="K43" s="97">
        <f t="shared" si="77"/>
        <v>0</v>
      </c>
      <c r="L43" s="97">
        <f t="shared" si="77"/>
        <v>110033783.37164994</v>
      </c>
      <c r="M43" s="97">
        <f>SUM(M34:M37)-SUM(M38:M41)</f>
        <v>109047735.66253133</v>
      </c>
      <c r="N43" s="97">
        <f t="shared" ref="N43:AO43" si="78">SUM(N34:N37)-SUM(N38:N41)</f>
        <v>107557707.24669895</v>
      </c>
      <c r="O43" s="97">
        <f t="shared" si="78"/>
        <v>105932137.970645</v>
      </c>
      <c r="P43" s="97">
        <f t="shared" si="78"/>
        <v>104164704.01269227</v>
      </c>
      <c r="Q43" s="97">
        <f t="shared" si="78"/>
        <v>102248830.78955245</v>
      </c>
      <c r="R43" s="97">
        <f t="shared" si="78"/>
        <v>100177684.31262149</v>
      </c>
      <c r="S43" s="97">
        <f t="shared" si="78"/>
        <v>97944162.327345312</v>
      </c>
      <c r="T43" s="97">
        <f t="shared" si="78"/>
        <v>95540885.236982435</v>
      </c>
      <c r="U43" s="97">
        <f t="shared" si="78"/>
        <v>92960186.812873632</v>
      </c>
      <c r="V43" s="97">
        <f t="shared" si="78"/>
        <v>90194104.694195092</v>
      </c>
      <c r="W43" s="97">
        <f t="shared" si="78"/>
        <v>87234370.681128442</v>
      </c>
      <c r="X43" s="97">
        <f t="shared" si="78"/>
        <v>84072400.826432943</v>
      </c>
      <c r="Y43" s="97">
        <f t="shared" si="78"/>
        <v>80699285.33156684</v>
      </c>
      <c r="Z43" s="97">
        <f t="shared" si="78"/>
        <v>77105778.25477609</v>
      </c>
      <c r="AA43" s="97">
        <f t="shared" si="78"/>
        <v>73282287.039965928</v>
      </c>
      <c r="AB43" s="97">
        <f t="shared" si="78"/>
        <v>69218861.876701325</v>
      </c>
      <c r="AC43" s="97">
        <f t="shared" si="78"/>
        <v>64905184.903354317</v>
      </c>
      <c r="AD43" s="97">
        <f t="shared" si="78"/>
        <v>60330559.267248064</v>
      </c>
      <c r="AE43" s="97">
        <f t="shared" si="78"/>
        <v>60330559.267248064</v>
      </c>
      <c r="AF43" s="97">
        <f t="shared" si="78"/>
        <v>60330559.267248064</v>
      </c>
      <c r="AG43" s="97">
        <f t="shared" si="78"/>
        <v>60330559.267248064</v>
      </c>
      <c r="AH43" s="97">
        <f t="shared" si="78"/>
        <v>60330559.267248064</v>
      </c>
      <c r="AI43" s="97">
        <f t="shared" si="78"/>
        <v>60330559.267248064</v>
      </c>
      <c r="AJ43" s="97">
        <f t="shared" si="78"/>
        <v>60330559.267248064</v>
      </c>
      <c r="AK43" s="97">
        <f t="shared" si="78"/>
        <v>60330559.267248064</v>
      </c>
      <c r="AL43" s="97">
        <f t="shared" si="78"/>
        <v>60330559.267248064</v>
      </c>
      <c r="AM43" s="97">
        <f t="shared" si="78"/>
        <v>60330559.267248064</v>
      </c>
      <c r="AN43" s="97">
        <f t="shared" si="78"/>
        <v>60330559.267248064</v>
      </c>
      <c r="AO43" s="97">
        <f t="shared" si="78"/>
        <v>60330559.267248064</v>
      </c>
    </row>
    <row r="44" spans="1:41">
      <c r="C44" s="13"/>
      <c r="G44" s="45"/>
      <c r="H44" s="45"/>
      <c r="I44" s="26"/>
    </row>
    <row r="45" spans="1:41">
      <c r="A45" s="8" t="s">
        <v>402</v>
      </c>
      <c r="C45" s="13"/>
      <c r="G45" s="45"/>
      <c r="H45" s="45"/>
      <c r="I45" s="26"/>
    </row>
    <row r="46" spans="1:41">
      <c r="A46" s="68" t="s">
        <v>178</v>
      </c>
      <c r="C46" s="13"/>
      <c r="G46" s="45"/>
      <c r="H46" s="45"/>
      <c r="I46" s="26"/>
    </row>
    <row r="47" spans="1:41">
      <c r="A47" s="73" t="s">
        <v>49</v>
      </c>
      <c r="C47" s="13"/>
      <c r="E47" s="86">
        <f>Collisions!H39</f>
        <v>21.2</v>
      </c>
      <c r="F47" s="114">
        <f>($M47/$E47)^(1/6)*E47</f>
        <v>21.490570067824638</v>
      </c>
      <c r="G47" s="114">
        <f t="shared" ref="G47:K47" si="79">($M47/$E47)^(1/6)*F47</f>
        <v>21.785122728305677</v>
      </c>
      <c r="H47" s="114">
        <f t="shared" si="79"/>
        <v>22.083712567396802</v>
      </c>
      <c r="I47" s="114">
        <f t="shared" si="79"/>
        <v>22.386394919214176</v>
      </c>
      <c r="J47" s="114">
        <f t="shared" si="79"/>
        <v>22.693225876290839</v>
      </c>
      <c r="K47" s="114">
        <f t="shared" si="79"/>
        <v>23.004262299971675</v>
      </c>
      <c r="L47" s="114">
        <f t="shared" ref="L47" si="80">(S47/K47)^(1/6)*K47</f>
        <v>23.16048417561289</v>
      </c>
      <c r="M47" s="114">
        <f>Collisions!I39</f>
        <v>23.004262299971664</v>
      </c>
      <c r="N47" s="86">
        <f>M47*($AD47/$M47)^(1/17)</f>
        <v>23.160484175612879</v>
      </c>
      <c r="O47" s="86">
        <f t="shared" ref="O47:AC47" si="81">N47*($AD47/$M47)^(1/17)</f>
        <v>23.317766953538666</v>
      </c>
      <c r="P47" s="86">
        <f t="shared" si="81"/>
        <v>23.476117838333224</v>
      </c>
      <c r="Q47" s="86">
        <f t="shared" si="81"/>
        <v>23.635544083507064</v>
      </c>
      <c r="R47" s="86">
        <f t="shared" si="81"/>
        <v>23.796052991829271</v>
      </c>
      <c r="S47" s="86">
        <f t="shared" si="81"/>
        <v>23.957651915662005</v>
      </c>
      <c r="T47" s="86">
        <f t="shared" si="81"/>
        <v>24.120348257297298</v>
      </c>
      <c r="U47" s="86">
        <f t="shared" si="81"/>
        <v>24.284149469296128</v>
      </c>
      <c r="V47" s="86">
        <f t="shared" si="81"/>
        <v>24.449063054829786</v>
      </c>
      <c r="W47" s="86">
        <f t="shared" si="81"/>
        <v>24.615096568023581</v>
      </c>
      <c r="X47" s="86">
        <f t="shared" si="81"/>
        <v>24.782257614302864</v>
      </c>
      <c r="Y47" s="86">
        <f t="shared" si="81"/>
        <v>24.950553850741404</v>
      </c>
      <c r="Z47" s="86">
        <f t="shared" si="81"/>
        <v>25.119992986412136</v>
      </c>
      <c r="AA47" s="86">
        <f t="shared" si="81"/>
        <v>25.290582782740287</v>
      </c>
      <c r="AB47" s="86">
        <f t="shared" si="81"/>
        <v>25.462331053858897</v>
      </c>
      <c r="AC47" s="86">
        <f t="shared" si="81"/>
        <v>25.63524566696676</v>
      </c>
      <c r="AD47" s="115">
        <f>Collisions!J39</f>
        <v>25.809334542688752</v>
      </c>
      <c r="AE47" s="114">
        <f>$AD47</f>
        <v>25.809334542688752</v>
      </c>
      <c r="AF47" s="114">
        <f t="shared" ref="AF47:AO49" si="82">$AD47</f>
        <v>25.809334542688752</v>
      </c>
      <c r="AG47" s="114">
        <f t="shared" si="82"/>
        <v>25.809334542688752</v>
      </c>
      <c r="AH47" s="114">
        <f t="shared" si="82"/>
        <v>25.809334542688752</v>
      </c>
      <c r="AI47" s="114">
        <f t="shared" si="82"/>
        <v>25.809334542688752</v>
      </c>
      <c r="AJ47" s="114">
        <f t="shared" si="82"/>
        <v>25.809334542688752</v>
      </c>
      <c r="AK47" s="114">
        <f t="shared" si="82"/>
        <v>25.809334542688752</v>
      </c>
      <c r="AL47" s="114">
        <f t="shared" si="82"/>
        <v>25.809334542688752</v>
      </c>
      <c r="AM47" s="114">
        <f t="shared" si="82"/>
        <v>25.809334542688752</v>
      </c>
      <c r="AN47" s="114">
        <f t="shared" si="82"/>
        <v>25.809334542688752</v>
      </c>
      <c r="AO47" s="114">
        <f t="shared" si="82"/>
        <v>25.809334542688752</v>
      </c>
    </row>
    <row r="48" spans="1:41">
      <c r="A48" s="73" t="s">
        <v>81</v>
      </c>
      <c r="C48" s="13"/>
      <c r="E48" s="86">
        <f>Collisions!H40</f>
        <v>6.9621621621621621</v>
      </c>
      <c r="F48" s="114">
        <f t="shared" ref="F48:K48" si="83">($M48/$E48)^(1/6)*E48</f>
        <v>7.0575933948095155</v>
      </c>
      <c r="G48" s="114">
        <f t="shared" si="83"/>
        <v>7.1543327153687093</v>
      </c>
      <c r="H48" s="114">
        <f t="shared" si="83"/>
        <v>7.252398053965317</v>
      </c>
      <c r="I48" s="114">
        <f t="shared" si="83"/>
        <v>7.3518075864954007</v>
      </c>
      <c r="J48" s="114">
        <f t="shared" si="83"/>
        <v>7.4525797379943164</v>
      </c>
      <c r="K48" s="114">
        <f t="shared" si="83"/>
        <v>7.5547331860516964</v>
      </c>
      <c r="L48" s="114">
        <f t="shared" ref="L48" si="84">(S48/K48)^(1/6)*K48</f>
        <v>7.6060387355616266</v>
      </c>
      <c r="M48" s="114">
        <f>Collisions!I40</f>
        <v>7.5547331860516955</v>
      </c>
      <c r="N48" s="86">
        <f t="shared" ref="N48:AC48" si="85">M48*($AD48/$M48)^(1/17)</f>
        <v>7.6060387355616248</v>
      </c>
      <c r="O48" s="86">
        <f t="shared" si="85"/>
        <v>7.6576927102701271</v>
      </c>
      <c r="P48" s="86">
        <f t="shared" si="85"/>
        <v>7.7096974763952852</v>
      </c>
      <c r="Q48" s="86">
        <f t="shared" si="85"/>
        <v>7.7620554162245945</v>
      </c>
      <c r="R48" s="86">
        <f t="shared" si="85"/>
        <v>7.8147689282240904</v>
      </c>
      <c r="S48" s="86">
        <f t="shared" si="85"/>
        <v>7.8678404271482245</v>
      </c>
      <c r="T48" s="86">
        <f t="shared" si="85"/>
        <v>7.9212723441504771</v>
      </c>
      <c r="U48" s="86">
        <f t="shared" si="85"/>
        <v>7.9750671268947304</v>
      </c>
      <c r="V48" s="86">
        <f t="shared" si="85"/>
        <v>8.0292272396673887</v>
      </c>
      <c r="W48" s="86">
        <f t="shared" si="85"/>
        <v>8.083755163490272</v>
      </c>
      <c r="X48" s="86">
        <f t="shared" si="85"/>
        <v>8.1386533962342611</v>
      </c>
      <c r="Y48" s="86">
        <f t="shared" si="85"/>
        <v>8.1939244527337269</v>
      </c>
      <c r="Z48" s="86">
        <f t="shared" si="85"/>
        <v>8.2495708649017345</v>
      </c>
      <c r="AA48" s="86">
        <f t="shared" si="85"/>
        <v>8.305595181846023</v>
      </c>
      <c r="AB48" s="86">
        <f t="shared" si="85"/>
        <v>8.3619999699857797</v>
      </c>
      <c r="AC48" s="86">
        <f t="shared" si="85"/>
        <v>8.4187878131692067</v>
      </c>
      <c r="AD48" s="115">
        <f>Collisions!J40</f>
        <v>8.4759613127918794</v>
      </c>
      <c r="AE48" s="114">
        <f t="shared" ref="AE48:AE49" si="86">$AD48</f>
        <v>8.4759613127918794</v>
      </c>
      <c r="AF48" s="114">
        <f t="shared" si="82"/>
        <v>8.4759613127918794</v>
      </c>
      <c r="AG48" s="114">
        <f t="shared" si="82"/>
        <v>8.4759613127918794</v>
      </c>
      <c r="AH48" s="114">
        <f t="shared" si="82"/>
        <v>8.4759613127918794</v>
      </c>
      <c r="AI48" s="114">
        <f t="shared" si="82"/>
        <v>8.4759613127918794</v>
      </c>
      <c r="AJ48" s="114">
        <f t="shared" si="82"/>
        <v>8.4759613127918794</v>
      </c>
      <c r="AK48" s="114">
        <f t="shared" si="82"/>
        <v>8.4759613127918794</v>
      </c>
      <c r="AL48" s="114">
        <f t="shared" si="82"/>
        <v>8.4759613127918794</v>
      </c>
      <c r="AM48" s="114">
        <f t="shared" si="82"/>
        <v>8.4759613127918794</v>
      </c>
      <c r="AN48" s="114">
        <f t="shared" si="82"/>
        <v>8.4759613127918794</v>
      </c>
      <c r="AO48" s="114">
        <f t="shared" si="82"/>
        <v>8.4759613127918794</v>
      </c>
    </row>
    <row r="49" spans="1:41">
      <c r="A49" s="73" t="s">
        <v>82</v>
      </c>
      <c r="C49" s="13"/>
      <c r="E49" s="86">
        <f>Collisions!H41</f>
        <v>2.2378378378378372</v>
      </c>
      <c r="F49" s="114">
        <f t="shared" ref="F49:K49" si="87">($M49/$E49)^(1/6)*E49</f>
        <v>2.2685121626173439</v>
      </c>
      <c r="G49" s="114">
        <f t="shared" si="87"/>
        <v>2.2996069442256561</v>
      </c>
      <c r="H49" s="114">
        <f t="shared" si="87"/>
        <v>2.331127945917423</v>
      </c>
      <c r="I49" s="114">
        <f t="shared" si="87"/>
        <v>2.36308100994495</v>
      </c>
      <c r="J49" s="114">
        <f t="shared" si="87"/>
        <v>2.3954720586410301</v>
      </c>
      <c r="K49" s="114">
        <f t="shared" si="87"/>
        <v>2.4283070955166166</v>
      </c>
      <c r="L49" s="114">
        <f t="shared" ref="L49" si="88">(S49/K49)^(1/6)*K49</f>
        <v>2.4447981650019512</v>
      </c>
      <c r="M49" s="114">
        <f>Collisions!I41</f>
        <v>2.4283070955166153</v>
      </c>
      <c r="N49" s="86">
        <f t="shared" ref="N49:AC49" si="89">M49*($AD49/$M49)^(1/17)</f>
        <v>2.4447981650019499</v>
      </c>
      <c r="O49" s="86">
        <f t="shared" si="89"/>
        <v>2.4614012283011113</v>
      </c>
      <c r="P49" s="86">
        <f t="shared" si="89"/>
        <v>2.4781170459841979</v>
      </c>
      <c r="Q49" s="86">
        <f t="shared" si="89"/>
        <v>2.4949463837864756</v>
      </c>
      <c r="R49" s="86">
        <f t="shared" si="89"/>
        <v>2.5118900126434567</v>
      </c>
      <c r="S49" s="86">
        <f t="shared" si="89"/>
        <v>2.5289487087262139</v>
      </c>
      <c r="T49" s="86">
        <f t="shared" si="89"/>
        <v>2.5461232534769382</v>
      </c>
      <c r="U49" s="86">
        <f t="shared" si="89"/>
        <v>2.5634144336447338</v>
      </c>
      <c r="V49" s="86">
        <f t="shared" si="89"/>
        <v>2.58082304132166</v>
      </c>
      <c r="W49" s="86">
        <f t="shared" si="89"/>
        <v>2.5983498739790152</v>
      </c>
      <c r="X49" s="86">
        <f t="shared" si="89"/>
        <v>2.6159957345038687</v>
      </c>
      <c r="Y49" s="86">
        <f t="shared" si="89"/>
        <v>2.6337614312358397</v>
      </c>
      <c r="Z49" s="86">
        <f t="shared" si="89"/>
        <v>2.6516477780041279</v>
      </c>
      <c r="AA49" s="86">
        <f t="shared" si="89"/>
        <v>2.6696555941647917</v>
      </c>
      <c r="AB49" s="86">
        <f t="shared" si="89"/>
        <v>2.6877857046382849</v>
      </c>
      <c r="AC49" s="86">
        <f t="shared" si="89"/>
        <v>2.7060389399472435</v>
      </c>
      <c r="AD49" s="115">
        <f>Collisions!J41</f>
        <v>2.7244161362545314</v>
      </c>
      <c r="AE49" s="114">
        <f t="shared" si="86"/>
        <v>2.7244161362545314</v>
      </c>
      <c r="AF49" s="114">
        <f t="shared" si="82"/>
        <v>2.7244161362545314</v>
      </c>
      <c r="AG49" s="114">
        <f t="shared" si="82"/>
        <v>2.7244161362545314</v>
      </c>
      <c r="AH49" s="114">
        <f t="shared" si="82"/>
        <v>2.7244161362545314</v>
      </c>
      <c r="AI49" s="114">
        <f t="shared" si="82"/>
        <v>2.7244161362545314</v>
      </c>
      <c r="AJ49" s="114">
        <f t="shared" si="82"/>
        <v>2.7244161362545314</v>
      </c>
      <c r="AK49" s="114">
        <f t="shared" si="82"/>
        <v>2.7244161362545314</v>
      </c>
      <c r="AL49" s="114">
        <f t="shared" si="82"/>
        <v>2.7244161362545314</v>
      </c>
      <c r="AM49" s="114">
        <f t="shared" si="82"/>
        <v>2.7244161362545314</v>
      </c>
      <c r="AN49" s="114">
        <f t="shared" si="82"/>
        <v>2.7244161362545314</v>
      </c>
      <c r="AO49" s="114">
        <f t="shared" si="82"/>
        <v>2.7244161362545314</v>
      </c>
    </row>
    <row r="50" spans="1:41">
      <c r="A50" s="68" t="s">
        <v>57</v>
      </c>
      <c r="C50" s="13"/>
      <c r="G50" s="45"/>
      <c r="H50" s="45"/>
      <c r="I50" s="26"/>
    </row>
    <row r="51" spans="1:41">
      <c r="A51" s="73" t="s">
        <v>49</v>
      </c>
      <c r="C51" s="13"/>
      <c r="E51" s="114">
        <f t="shared" ref="E51:K51" si="90">F51/($AD51/$M51)^(1/17)</f>
        <v>17.215546579535054</v>
      </c>
      <c r="F51" s="114">
        <f t="shared" si="90"/>
        <v>17.332457304242233</v>
      </c>
      <c r="G51" s="114">
        <f t="shared" si="90"/>
        <v>17.450161969326988</v>
      </c>
      <c r="H51" s="114">
        <f t="shared" si="90"/>
        <v>17.568665966436022</v>
      </c>
      <c r="I51" s="114">
        <f t="shared" si="90"/>
        <v>17.687974723830692</v>
      </c>
      <c r="J51" s="114">
        <f t="shared" si="90"/>
        <v>17.80809370663566</v>
      </c>
      <c r="K51" s="114">
        <f t="shared" si="90"/>
        <v>17.929028417089235</v>
      </c>
      <c r="L51" s="86">
        <f>M51/($AD51/$M51)^(1/17)</f>
        <v>18.050784394795411</v>
      </c>
      <c r="M51" s="114">
        <f>Collisions!L39</f>
        <v>18.173367216977613</v>
      </c>
      <c r="N51" s="86">
        <f t="shared" ref="N51:AC51" si="91">M51*($AD51/$M51)^(1/17)</f>
        <v>18.296782498734174</v>
      </c>
      <c r="O51" s="86">
        <f t="shared" si="91"/>
        <v>18.421035893295546</v>
      </c>
      <c r="P51" s="86">
        <f t="shared" si="91"/>
        <v>18.546133092283245</v>
      </c>
      <c r="Q51" s="86">
        <f t="shared" si="91"/>
        <v>18.672079825970581</v>
      </c>
      <c r="R51" s="86">
        <f t="shared" si="91"/>
        <v>18.798881863545123</v>
      </c>
      <c r="S51" s="86">
        <f t="shared" si="91"/>
        <v>18.926545013372984</v>
      </c>
      <c r="T51" s="86">
        <f t="shared" si="91"/>
        <v>19.055075123264867</v>
      </c>
      <c r="U51" s="86">
        <f t="shared" si="91"/>
        <v>19.184478080743943</v>
      </c>
      <c r="V51" s="86">
        <f t="shared" si="91"/>
        <v>19.314759813315533</v>
      </c>
      <c r="W51" s="86">
        <f t="shared" si="91"/>
        <v>19.445926288738629</v>
      </c>
      <c r="X51" s="86">
        <f t="shared" si="91"/>
        <v>19.577983515299263</v>
      </c>
      <c r="Y51" s="86">
        <f t="shared" si="91"/>
        <v>19.710937542085709</v>
      </c>
      <c r="Z51" s="86">
        <f t="shared" si="91"/>
        <v>19.844794459265586</v>
      </c>
      <c r="AA51" s="86">
        <f t="shared" si="91"/>
        <v>19.979560398364825</v>
      </c>
      <c r="AB51" s="86">
        <f t="shared" si="91"/>
        <v>20.115241532548527</v>
      </c>
      <c r="AC51" s="86">
        <f t="shared" si="91"/>
        <v>20.25184407690374</v>
      </c>
      <c r="AD51" s="115">
        <f>Collisions!M39</f>
        <v>20.389374288724113</v>
      </c>
      <c r="AE51" s="114">
        <f t="shared" ref="AE51:AO53" si="92">$AD51</f>
        <v>20.389374288724113</v>
      </c>
      <c r="AF51" s="114">
        <f t="shared" si="92"/>
        <v>20.389374288724113</v>
      </c>
      <c r="AG51" s="114">
        <f t="shared" si="92"/>
        <v>20.389374288724113</v>
      </c>
      <c r="AH51" s="114">
        <f t="shared" si="92"/>
        <v>20.389374288724113</v>
      </c>
      <c r="AI51" s="114">
        <f t="shared" si="92"/>
        <v>20.389374288724113</v>
      </c>
      <c r="AJ51" s="114">
        <f t="shared" si="92"/>
        <v>20.389374288724113</v>
      </c>
      <c r="AK51" s="114">
        <f t="shared" si="92"/>
        <v>20.389374288724113</v>
      </c>
      <c r="AL51" s="114">
        <f t="shared" si="92"/>
        <v>20.389374288724113</v>
      </c>
      <c r="AM51" s="114">
        <f t="shared" si="92"/>
        <v>20.389374288724113</v>
      </c>
      <c r="AN51" s="114">
        <f t="shared" si="92"/>
        <v>20.389374288724113</v>
      </c>
      <c r="AO51" s="114">
        <f t="shared" si="92"/>
        <v>20.389374288724113</v>
      </c>
    </row>
    <row r="52" spans="1:41">
      <c r="A52" s="73" t="s">
        <v>81</v>
      </c>
      <c r="C52" s="13"/>
      <c r="E52" s="114">
        <f>F52/($AD52/$M52)^(1/17)</f>
        <v>7.0099873123364667</v>
      </c>
      <c r="F52" s="114">
        <f t="shared" ref="F52:K53" si="93">F48</f>
        <v>7.0575933948095155</v>
      </c>
      <c r="G52" s="114">
        <f t="shared" si="93"/>
        <v>7.1543327153687093</v>
      </c>
      <c r="H52" s="114">
        <f t="shared" si="93"/>
        <v>7.252398053965317</v>
      </c>
      <c r="I52" s="114">
        <f t="shared" si="93"/>
        <v>7.3518075864954007</v>
      </c>
      <c r="J52" s="114">
        <f t="shared" si="93"/>
        <v>7.4525797379943164</v>
      </c>
      <c r="K52" s="114">
        <f t="shared" si="93"/>
        <v>7.5547331860516964</v>
      </c>
      <c r="L52" s="86">
        <f t="shared" ref="L52:L53" si="94">M52/($AD52/$M52)^(1/17)</f>
        <v>5.9279812320717866</v>
      </c>
      <c r="M52" s="114">
        <f>Collisions!L40</f>
        <v>5.96823921698084</v>
      </c>
      <c r="N52" s="86">
        <f t="shared" ref="N52:AC52" si="95">M52*($AD52/$M52)^(1/17)</f>
        <v>6.0087706010936843</v>
      </c>
      <c r="O52" s="86">
        <f t="shared" si="95"/>
        <v>6.0495772411134014</v>
      </c>
      <c r="P52" s="86">
        <f t="shared" si="95"/>
        <v>6.0906610063522768</v>
      </c>
      <c r="Q52" s="86">
        <f t="shared" si="95"/>
        <v>6.1320237788174312</v>
      </c>
      <c r="R52" s="86">
        <f t="shared" si="95"/>
        <v>6.1736674532970337</v>
      </c>
      <c r="S52" s="86">
        <f t="shared" si="95"/>
        <v>6.2155939374470996</v>
      </c>
      <c r="T52" s="86">
        <f t="shared" si="95"/>
        <v>6.2578051518788795</v>
      </c>
      <c r="U52" s="86">
        <f t="shared" si="95"/>
        <v>6.3003030302468392</v>
      </c>
      <c r="V52" s="86">
        <f t="shared" si="95"/>
        <v>6.3430895193372399</v>
      </c>
      <c r="W52" s="86">
        <f t="shared" si="95"/>
        <v>6.386166579157317</v>
      </c>
      <c r="X52" s="86">
        <f t="shared" si="95"/>
        <v>6.4295361830250677</v>
      </c>
      <c r="Y52" s="86">
        <f t="shared" si="95"/>
        <v>6.4732003176596455</v>
      </c>
      <c r="Z52" s="86">
        <f t="shared" si="95"/>
        <v>6.5171609832723707</v>
      </c>
      <c r="AA52" s="86">
        <f t="shared" si="95"/>
        <v>6.5614201936583578</v>
      </c>
      <c r="AB52" s="86">
        <f t="shared" si="95"/>
        <v>6.6059799762887659</v>
      </c>
      <c r="AC52" s="86">
        <f t="shared" si="95"/>
        <v>6.6508423724036732</v>
      </c>
      <c r="AD52" s="115">
        <f>Collisions!M40</f>
        <v>6.6960094371055847</v>
      </c>
      <c r="AE52" s="114">
        <f t="shared" si="92"/>
        <v>6.6960094371055847</v>
      </c>
      <c r="AF52" s="114">
        <f t="shared" si="92"/>
        <v>6.6960094371055847</v>
      </c>
      <c r="AG52" s="114">
        <f t="shared" si="92"/>
        <v>6.6960094371055847</v>
      </c>
      <c r="AH52" s="114">
        <f t="shared" si="92"/>
        <v>6.6960094371055847</v>
      </c>
      <c r="AI52" s="114">
        <f t="shared" si="92"/>
        <v>6.6960094371055847</v>
      </c>
      <c r="AJ52" s="114">
        <f t="shared" si="92"/>
        <v>6.6960094371055847</v>
      </c>
      <c r="AK52" s="114">
        <f t="shared" si="92"/>
        <v>6.6960094371055847</v>
      </c>
      <c r="AL52" s="114">
        <f t="shared" si="92"/>
        <v>6.6960094371055847</v>
      </c>
      <c r="AM52" s="114">
        <f t="shared" si="92"/>
        <v>6.6960094371055847</v>
      </c>
      <c r="AN52" s="114">
        <f t="shared" si="92"/>
        <v>6.6960094371055847</v>
      </c>
      <c r="AO52" s="114">
        <f t="shared" si="92"/>
        <v>6.6960094371055847</v>
      </c>
    </row>
    <row r="53" spans="1:41">
      <c r="A53" s="73" t="s">
        <v>82</v>
      </c>
      <c r="C53" s="13"/>
      <c r="E53" s="114">
        <f>F53/($AD53/$M53)^(1/17)</f>
        <v>2.2532102075367209</v>
      </c>
      <c r="F53" s="114">
        <f t="shared" si="93"/>
        <v>2.2685121626173439</v>
      </c>
      <c r="G53" s="114">
        <f t="shared" si="93"/>
        <v>2.2996069442256561</v>
      </c>
      <c r="H53" s="114">
        <f t="shared" si="93"/>
        <v>2.331127945917423</v>
      </c>
      <c r="I53" s="114">
        <f t="shared" si="93"/>
        <v>2.36308100994495</v>
      </c>
      <c r="J53" s="114">
        <f t="shared" si="93"/>
        <v>2.3954720586410301</v>
      </c>
      <c r="K53" s="114">
        <f t="shared" si="93"/>
        <v>2.4283070955166166</v>
      </c>
      <c r="L53" s="86">
        <f t="shared" si="94"/>
        <v>1.9054225388802164</v>
      </c>
      <c r="M53" s="114">
        <f>Collisions!L41</f>
        <v>1.9183626054581264</v>
      </c>
      <c r="N53" s="86">
        <f t="shared" ref="N53:AC53" si="96">M53*($AD53/$M53)^(1/17)</f>
        <v>1.9313905503515407</v>
      </c>
      <c r="O53" s="86">
        <f t="shared" si="96"/>
        <v>1.9445069703578783</v>
      </c>
      <c r="P53" s="86">
        <f t="shared" si="96"/>
        <v>1.9577124663275167</v>
      </c>
      <c r="Q53" s="86">
        <f t="shared" si="96"/>
        <v>1.9710076431913162</v>
      </c>
      <c r="R53" s="86">
        <f t="shared" si="96"/>
        <v>1.9843931099883312</v>
      </c>
      <c r="S53" s="86">
        <f t="shared" si="96"/>
        <v>1.9978694798937096</v>
      </c>
      <c r="T53" s="86">
        <f t="shared" si="96"/>
        <v>2.0114373702467816</v>
      </c>
      <c r="U53" s="86">
        <f t="shared" si="96"/>
        <v>2.0250974025793402</v>
      </c>
      <c r="V53" s="86">
        <f t="shared" si="96"/>
        <v>2.0388502026441118</v>
      </c>
      <c r="W53" s="86">
        <f t="shared" si="96"/>
        <v>2.0526964004434225</v>
      </c>
      <c r="X53" s="86">
        <f t="shared" si="96"/>
        <v>2.0666366302580568</v>
      </c>
      <c r="Y53" s="86">
        <f t="shared" si="96"/>
        <v>2.0806715306763142</v>
      </c>
      <c r="Z53" s="86">
        <f t="shared" si="96"/>
        <v>2.0948017446232616</v>
      </c>
      <c r="AA53" s="86">
        <f t="shared" si="96"/>
        <v>2.109027919390186</v>
      </c>
      <c r="AB53" s="86">
        <f t="shared" si="96"/>
        <v>2.1233507066642456</v>
      </c>
      <c r="AC53" s="86">
        <f t="shared" si="96"/>
        <v>2.1377707625583229</v>
      </c>
      <c r="AD53" s="115">
        <f>Collisions!M41</f>
        <v>2.1522887476410801</v>
      </c>
      <c r="AE53" s="114">
        <f t="shared" si="92"/>
        <v>2.1522887476410801</v>
      </c>
      <c r="AF53" s="114">
        <f t="shared" si="92"/>
        <v>2.1522887476410801</v>
      </c>
      <c r="AG53" s="114">
        <f t="shared" si="92"/>
        <v>2.1522887476410801</v>
      </c>
      <c r="AH53" s="114">
        <f t="shared" si="92"/>
        <v>2.1522887476410801</v>
      </c>
      <c r="AI53" s="114">
        <f t="shared" si="92"/>
        <v>2.1522887476410801</v>
      </c>
      <c r="AJ53" s="114">
        <f t="shared" si="92"/>
        <v>2.1522887476410801</v>
      </c>
      <c r="AK53" s="114">
        <f t="shared" si="92"/>
        <v>2.1522887476410801</v>
      </c>
      <c r="AL53" s="114">
        <f t="shared" si="92"/>
        <v>2.1522887476410801</v>
      </c>
      <c r="AM53" s="114">
        <f t="shared" si="92"/>
        <v>2.1522887476410801</v>
      </c>
      <c r="AN53" s="114">
        <f t="shared" si="92"/>
        <v>2.1522887476410801</v>
      </c>
      <c r="AO53" s="114">
        <f t="shared" si="92"/>
        <v>2.1522887476410801</v>
      </c>
    </row>
    <row r="54" spans="1:41">
      <c r="C54" s="13"/>
      <c r="G54" s="45"/>
      <c r="H54" s="45"/>
      <c r="I54" s="26"/>
    </row>
    <row r="55" spans="1:41" s="26" customFormat="1">
      <c r="A55" s="36" t="s">
        <v>401</v>
      </c>
      <c r="C55" s="47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</row>
    <row r="56" spans="1:41" s="26" customFormat="1">
      <c r="A56" s="68" t="s">
        <v>49</v>
      </c>
      <c r="B56" s="70"/>
      <c r="C56" s="47">
        <f>ROUND(G56+NPV(Assumptions!$B$4,H56:AO56),-3)</f>
        <v>216000</v>
      </c>
      <c r="D56" s="48"/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86">
        <f>M56/($AD56/$M56)^(1/17)</f>
        <v>21423.923125874622</v>
      </c>
      <c r="M56" s="48">
        <f>(M47-M51)*Assumptions!$C36</f>
        <v>21569.412922968506</v>
      </c>
      <c r="N56" s="48">
        <f>(N47-N51)*Assumptions!$C36</f>
        <v>21715.890740834024</v>
      </c>
      <c r="O56" s="48">
        <f>(O47-O51)*Assumptions!$C36</f>
        <v>21863.363289117264</v>
      </c>
      <c r="P56" s="48">
        <f>(P47-P51)*Assumptions!$C36</f>
        <v>22011.837323029471</v>
      </c>
      <c r="Q56" s="48">
        <f>(Q47-Q51)*Assumptions!$C36</f>
        <v>22161.319643656509</v>
      </c>
      <c r="R56" s="48">
        <f>(R47-R51)*Assumptions!$C36</f>
        <v>22311.817098270429</v>
      </c>
      <c r="S56" s="48">
        <f>(S47-S51)*Assumptions!$C36</f>
        <v>22463.336580643041</v>
      </c>
      <c r="T56" s="48">
        <f>(T47-T51)*Assumptions!$C36</f>
        <v>22615.885031361762</v>
      </c>
      <c r="U56" s="48">
        <f>(U47-U51)*Assumptions!$C36</f>
        <v>22769.469438147535</v>
      </c>
      <c r="V56" s="48">
        <f>(V47-V51)*Assumptions!$C36</f>
        <v>22924.096836174864</v>
      </c>
      <c r="W56" s="48">
        <f>(W47-W51)*Assumptions!$C36</f>
        <v>23079.774308394117</v>
      </c>
      <c r="X56" s="48">
        <f>(X47-X51)*Assumptions!$C36</f>
        <v>23236.508985855944</v>
      </c>
      <c r="Y56" s="48">
        <f>(Y47-Y51)*Assumptions!$C36</f>
        <v>23394.30804803795</v>
      </c>
      <c r="Z56" s="48">
        <f>(Z47-Z51)*Assumptions!$C36</f>
        <v>23553.178723173554</v>
      </c>
      <c r="AA56" s="48">
        <f>(AA47-AA51)*Assumptions!$C36</f>
        <v>23713.128288583073</v>
      </c>
      <c r="AB56" s="48">
        <f>(AB47-AB51)*Assumptions!$C36</f>
        <v>23874.164071007086</v>
      </c>
      <c r="AC56" s="48">
        <f>(AC47-AC51)*Assumptions!$C36</f>
        <v>24036.293446942054</v>
      </c>
      <c r="AD56" s="48">
        <f>(AD47-AD51)*Assumptions!$C36</f>
        <v>24199.523842978175</v>
      </c>
      <c r="AE56" s="48">
        <f>(AE47-AE51)*Assumptions!$C36</f>
        <v>24199.523842978175</v>
      </c>
      <c r="AF56" s="48">
        <f>(AF47-AF51)*Assumptions!$C36</f>
        <v>24199.523842978175</v>
      </c>
      <c r="AG56" s="48">
        <f>(AG47-AG51)*Assumptions!$C36</f>
        <v>24199.523842978175</v>
      </c>
      <c r="AH56" s="48">
        <f>(AH47-AH51)*Assumptions!$C36</f>
        <v>24199.523842978175</v>
      </c>
      <c r="AI56" s="48">
        <f>(AI47-AI51)*Assumptions!$C36</f>
        <v>24199.523842978175</v>
      </c>
      <c r="AJ56" s="48">
        <f>(AJ47-AJ51)*Assumptions!$C36</f>
        <v>24199.523842978175</v>
      </c>
      <c r="AK56" s="48">
        <f>(AK47-AK51)*Assumptions!$C36</f>
        <v>24199.523842978175</v>
      </c>
      <c r="AL56" s="48">
        <f>(AL47-AL51)*Assumptions!$C36</f>
        <v>24199.523842978175</v>
      </c>
      <c r="AM56" s="48">
        <f>(AM47-AM51)*Assumptions!$C36</f>
        <v>24199.523842978175</v>
      </c>
      <c r="AN56" s="48">
        <f>(AN47-AN51)*Assumptions!$C36</f>
        <v>24199.523842978175</v>
      </c>
      <c r="AO56" s="48">
        <f>(AO47-AO51)*Assumptions!$C36</f>
        <v>24199.523842978175</v>
      </c>
    </row>
    <row r="57" spans="1:41" s="26" customFormat="1">
      <c r="A57" s="68" t="s">
        <v>81</v>
      </c>
      <c r="C57" s="47">
        <f>ROUND(G57+NPV(Assumptions!$B$4,H57:AO57),-3)</f>
        <v>1057000</v>
      </c>
      <c r="D57" s="48"/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f>(L48-L52)*Assumptions!$C37</f>
        <v>111339.67792746889</v>
      </c>
      <c r="M57" s="48">
        <f>(M48-M52)*Assumptions!$C37</f>
        <v>105264.40672197759</v>
      </c>
      <c r="N57" s="48">
        <f>(N48-N52)*Assumptions!$C37</f>
        <v>105979.27620812686</v>
      </c>
      <c r="O57" s="48">
        <f>(O48-O52)*Assumptions!$C37</f>
        <v>106699.00050131055</v>
      </c>
      <c r="P57" s="48">
        <f>(P48-P52)*Assumptions!$C37</f>
        <v>107423.61257139489</v>
      </c>
      <c r="Q57" s="48">
        <f>(Q48-Q52)*Assumptions!$C37</f>
        <v>108153.14561215045</v>
      </c>
      <c r="R57" s="48">
        <f>(R48-R52)*Assumptions!$C37</f>
        <v>108887.63304277252</v>
      </c>
      <c r="S57" s="48">
        <f>(S48-S52)*Assumptions!$C37</f>
        <v>109627.10850941236</v>
      </c>
      <c r="T57" s="48">
        <f>(T48-T52)*Assumptions!$C37</f>
        <v>110371.60588671805</v>
      </c>
      <c r="U57" s="48">
        <f>(U48-U52)*Assumptions!$C37</f>
        <v>111121.15927938675</v>
      </c>
      <c r="V57" s="48">
        <f>(V48-V52)*Assumptions!$C37</f>
        <v>111875.80302372639</v>
      </c>
      <c r="W57" s="48">
        <f>(W48-W52)*Assumptions!$C37</f>
        <v>112635.57168922933</v>
      </c>
      <c r="X57" s="48">
        <f>(X48-X52)*Assumptions!$C37</f>
        <v>113400.50008015528</v>
      </c>
      <c r="Y57" s="48">
        <f>(Y48-Y52)*Assumptions!$C37</f>
        <v>114170.62323712595</v>
      </c>
      <c r="Z57" s="48">
        <f>(Z48-Z52)*Assumptions!$C37</f>
        <v>114945.97643873039</v>
      </c>
      <c r="AA57" s="48">
        <f>(AA48-AA52)*Assumptions!$C37</f>
        <v>115726.59520314065</v>
      </c>
      <c r="AB57" s="48">
        <f>(AB48-AB52)*Assumptions!$C37</f>
        <v>116512.51528973914</v>
      </c>
      <c r="AC57" s="48">
        <f>(AC48-AC52)*Assumptions!$C37</f>
        <v>117303.77270075676</v>
      </c>
      <c r="AD57" s="48">
        <f>(AD48-AD52)*Assumptions!$C37</f>
        <v>118100.40368292188</v>
      </c>
      <c r="AE57" s="48">
        <f>(AE48-AE52)*Assumptions!$C37</f>
        <v>118100.40368292188</v>
      </c>
      <c r="AF57" s="48">
        <f>(AF48-AF52)*Assumptions!$C37</f>
        <v>118100.40368292188</v>
      </c>
      <c r="AG57" s="48">
        <f>(AG48-AG52)*Assumptions!$C37</f>
        <v>118100.40368292188</v>
      </c>
      <c r="AH57" s="48">
        <f>(AH48-AH52)*Assumptions!$C37</f>
        <v>118100.40368292188</v>
      </c>
      <c r="AI57" s="48">
        <f>(AI48-AI52)*Assumptions!$C37</f>
        <v>118100.40368292188</v>
      </c>
      <c r="AJ57" s="48">
        <f>(AJ48-AJ52)*Assumptions!$C37</f>
        <v>118100.40368292188</v>
      </c>
      <c r="AK57" s="48">
        <f>(AK48-AK52)*Assumptions!$C37</f>
        <v>118100.40368292188</v>
      </c>
      <c r="AL57" s="48">
        <f>(AL48-AL52)*Assumptions!$C37</f>
        <v>118100.40368292188</v>
      </c>
      <c r="AM57" s="48">
        <f>(AM48-AM52)*Assumptions!$C37</f>
        <v>118100.40368292188</v>
      </c>
      <c r="AN57" s="48">
        <f>(AN48-AN52)*Assumptions!$C37</f>
        <v>118100.40368292188</v>
      </c>
      <c r="AO57" s="48">
        <f>(AO48-AO52)*Assumptions!$C37</f>
        <v>118100.40368292188</v>
      </c>
    </row>
    <row r="58" spans="1:41" s="26" customFormat="1">
      <c r="A58" s="68" t="s">
        <v>82</v>
      </c>
      <c r="C58" s="47">
        <f>ROUND(G58+NPV(Assumptions!$B$4,H58:AO58),-3)</f>
        <v>664000</v>
      </c>
      <c r="D58" s="48"/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f>(L49-L53)*Assumptions!$C38</f>
        <v>70007.34276123553</v>
      </c>
      <c r="M58" s="48">
        <f>(M49-M53)*Assumptions!$C38</f>
        <v>66187.378472068347</v>
      </c>
      <c r="N58" s="48">
        <f>(N49-N53)*Assumptions!$C38</f>
        <v>66636.868843138072</v>
      </c>
      <c r="O58" s="48">
        <f>(O49-O53)*Assumptions!$C38</f>
        <v>67089.411784023192</v>
      </c>
      <c r="P58" s="48">
        <f>(P49-P53)*Assumptions!$C38</f>
        <v>67545.028025273423</v>
      </c>
      <c r="Q58" s="48">
        <f>(Q49-Q53)*Assumptions!$C38</f>
        <v>68003.738438223329</v>
      </c>
      <c r="R58" s="48">
        <f>(R49-R53)*Assumptions!$C38</f>
        <v>68465.564035948526</v>
      </c>
      <c r="S58" s="48">
        <f>(S49-S53)*Assumptions!$C38</f>
        <v>68930.525974228076</v>
      </c>
      <c r="T58" s="48">
        <f>(T49-T53)*Assumptions!$C38</f>
        <v>69398.645552513903</v>
      </c>
      <c r="U58" s="48">
        <f>(U49-U53)*Assumptions!$C38</f>
        <v>69869.944214906136</v>
      </c>
      <c r="V58" s="48">
        <f>(V49-V53)*Assumptions!$C38</f>
        <v>70344.443551135846</v>
      </c>
      <c r="W58" s="48">
        <f>(W49-W53)*Assumptions!$C38</f>
        <v>70822.165297553642</v>
      </c>
      <c r="X58" s="48">
        <f>(X49-X53)*Assumptions!$C38</f>
        <v>71303.131338125764</v>
      </c>
      <c r="Y58" s="48">
        <f>(Y49-Y53)*Assumptions!$C38</f>
        <v>71787.363705436248</v>
      </c>
      <c r="Z58" s="48">
        <f>(Z49-Z53)*Assumptions!$C38</f>
        <v>72274.884581696562</v>
      </c>
      <c r="AA58" s="48">
        <f>(AA49-AA53)*Assumptions!$C38</f>
        <v>72765.716299761349</v>
      </c>
      <c r="AB58" s="48">
        <f>(AB49-AB53)*Assumptions!$C38</f>
        <v>73259.881344151756</v>
      </c>
      <c r="AC58" s="48">
        <f>(AC49-AC53)*Assumptions!$C38</f>
        <v>73757.402352085366</v>
      </c>
      <c r="AD58" s="48">
        <f>(AD49-AD53)*Assumptions!$C38</f>
        <v>74258.302114513164</v>
      </c>
      <c r="AE58" s="48">
        <f>(AE49-AE53)*Assumptions!$C38</f>
        <v>74258.302114513164</v>
      </c>
      <c r="AF58" s="48">
        <f>(AF49-AF53)*Assumptions!$C38</f>
        <v>74258.302114513164</v>
      </c>
      <c r="AG58" s="48">
        <f>(AG49-AG53)*Assumptions!$C38</f>
        <v>74258.302114513164</v>
      </c>
      <c r="AH58" s="48">
        <f>(AH49-AH53)*Assumptions!$C38</f>
        <v>74258.302114513164</v>
      </c>
      <c r="AI58" s="48">
        <f>(AI49-AI53)*Assumptions!$C38</f>
        <v>74258.302114513164</v>
      </c>
      <c r="AJ58" s="48">
        <f>(AJ49-AJ53)*Assumptions!$C38</f>
        <v>74258.302114513164</v>
      </c>
      <c r="AK58" s="48">
        <f>(AK49-AK53)*Assumptions!$C38</f>
        <v>74258.302114513164</v>
      </c>
      <c r="AL58" s="48">
        <f>(AL49-AL53)*Assumptions!$C38</f>
        <v>74258.302114513164</v>
      </c>
      <c r="AM58" s="48">
        <f>(AM49-AM53)*Assumptions!$C38</f>
        <v>74258.302114513164</v>
      </c>
      <c r="AN58" s="48">
        <f>(AN49-AN53)*Assumptions!$C38</f>
        <v>74258.302114513164</v>
      </c>
      <c r="AO58" s="48">
        <f>(AO49-AO53)*Assumptions!$C38</f>
        <v>74258.302114513164</v>
      </c>
    </row>
    <row r="59" spans="1:41" s="36" customFormat="1">
      <c r="A59" s="98" t="s">
        <v>405</v>
      </c>
      <c r="C59" s="96">
        <f>ROUND(G59+NPV(Assumptions!$B$4,H59:AO59),-3)</f>
        <v>1937000</v>
      </c>
      <c r="D59" s="99"/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99">
        <f t="shared" ref="L59" si="97">SUM(L56:L58)</f>
        <v>202770.94381457905</v>
      </c>
      <c r="M59" s="99">
        <f t="shared" ref="M59:AO59" si="98">SUM(M56:M58)</f>
        <v>193021.19811701443</v>
      </c>
      <c r="N59" s="99">
        <f t="shared" si="98"/>
        <v>194332.03579209896</v>
      </c>
      <c r="O59" s="99">
        <f t="shared" si="98"/>
        <v>195651.77557445102</v>
      </c>
      <c r="P59" s="99">
        <f t="shared" si="98"/>
        <v>196980.47791969776</v>
      </c>
      <c r="Q59" s="99">
        <f t="shared" si="98"/>
        <v>198318.20369403029</v>
      </c>
      <c r="R59" s="99">
        <f t="shared" si="98"/>
        <v>199665.01417699148</v>
      </c>
      <c r="S59" s="99">
        <f t="shared" si="98"/>
        <v>201020.97106428348</v>
      </c>
      <c r="T59" s="99">
        <f t="shared" si="98"/>
        <v>202386.13647059374</v>
      </c>
      <c r="U59" s="99">
        <f t="shared" si="98"/>
        <v>203760.57293244041</v>
      </c>
      <c r="V59" s="99">
        <f t="shared" si="98"/>
        <v>205144.34341103712</v>
      </c>
      <c r="W59" s="99">
        <f t="shared" si="98"/>
        <v>206537.5112951771</v>
      </c>
      <c r="X59" s="99">
        <f t="shared" si="98"/>
        <v>207940.140404137</v>
      </c>
      <c r="Y59" s="99">
        <f t="shared" si="98"/>
        <v>209352.29499060014</v>
      </c>
      <c r="Z59" s="99">
        <f t="shared" si="98"/>
        <v>210774.0397436005</v>
      </c>
      <c r="AA59" s="99">
        <f t="shared" si="98"/>
        <v>212205.43979148506</v>
      </c>
      <c r="AB59" s="99">
        <f t="shared" si="98"/>
        <v>213646.56070489797</v>
      </c>
      <c r="AC59" s="99">
        <f t="shared" si="98"/>
        <v>215097.46849978418</v>
      </c>
      <c r="AD59" s="99">
        <f t="shared" si="98"/>
        <v>216558.22964041325</v>
      </c>
      <c r="AE59" s="99">
        <f t="shared" si="98"/>
        <v>216558.22964041325</v>
      </c>
      <c r="AF59" s="99">
        <f t="shared" si="98"/>
        <v>216558.22964041325</v>
      </c>
      <c r="AG59" s="99">
        <f t="shared" si="98"/>
        <v>216558.22964041325</v>
      </c>
      <c r="AH59" s="99">
        <f t="shared" si="98"/>
        <v>216558.22964041325</v>
      </c>
      <c r="AI59" s="99">
        <f t="shared" si="98"/>
        <v>216558.22964041325</v>
      </c>
      <c r="AJ59" s="99">
        <f t="shared" si="98"/>
        <v>216558.22964041325</v>
      </c>
      <c r="AK59" s="99">
        <f t="shared" si="98"/>
        <v>216558.22964041325</v>
      </c>
      <c r="AL59" s="99">
        <f t="shared" si="98"/>
        <v>216558.22964041325</v>
      </c>
      <c r="AM59" s="99">
        <f t="shared" si="98"/>
        <v>216558.22964041325</v>
      </c>
      <c r="AN59" s="99">
        <f t="shared" si="98"/>
        <v>216558.22964041325</v>
      </c>
      <c r="AO59" s="99">
        <f t="shared" si="98"/>
        <v>216558.22964041325</v>
      </c>
    </row>
    <row r="60" spans="1:41" s="36" customFormat="1">
      <c r="A60" s="98"/>
      <c r="C60" s="96"/>
      <c r="D60" s="99"/>
      <c r="E60" s="48"/>
      <c r="F60" s="48"/>
      <c r="G60" s="48"/>
      <c r="H60" s="48"/>
      <c r="I60" s="48"/>
      <c r="J60" s="48"/>
      <c r="K60" s="48"/>
      <c r="L60" s="48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</row>
    <row r="61" spans="1:41" s="36" customFormat="1">
      <c r="A61" s="98" t="s">
        <v>314</v>
      </c>
      <c r="C61" s="96"/>
      <c r="D61" s="99"/>
      <c r="E61" s="48"/>
      <c r="F61" s="48"/>
      <c r="G61" s="48"/>
      <c r="H61" s="48"/>
      <c r="I61" s="48"/>
      <c r="J61" s="48"/>
      <c r="K61" s="48"/>
      <c r="L61" s="48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</row>
    <row r="62" spans="1:41" s="36" customFormat="1">
      <c r="A62" s="102" t="s">
        <v>315</v>
      </c>
      <c r="C62" s="345">
        <f>ROUND(G62+NPV(Assumptions!$B$4,H62:AO62),-3)</f>
        <v>355177000</v>
      </c>
      <c r="D62" s="99"/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335">
        <f>Fuel!B16*Assumptions!$C$44</f>
        <v>33495720.065009683</v>
      </c>
      <c r="M62" s="335">
        <f>Fuel!C16*Assumptions!$C$44</f>
        <v>33915442.971938461</v>
      </c>
      <c r="N62" s="335">
        <f>Fuel!D16*Assumptions!$C$44</f>
        <v>34340425.276732355</v>
      </c>
      <c r="O62" s="335">
        <f>Fuel!E16*Assumptions!$C$44</f>
        <v>34770732.883027926</v>
      </c>
      <c r="P62" s="335">
        <f>Fuel!F16*Assumptions!$C$44</f>
        <v>35206432.520276614</v>
      </c>
      <c r="Q62" s="335">
        <f>Fuel!G16*Assumptions!$C$44</f>
        <v>35647591.754092835</v>
      </c>
      <c r="R62" s="335">
        <f>Fuel!H16*Assumptions!$C$44</f>
        <v>36094278.996731564</v>
      </c>
      <c r="S62" s="335">
        <f>Fuel!I16*Assumptions!$C$44</f>
        <v>36546563.517697342</v>
      </c>
      <c r="T62" s="335">
        <f>Fuel!J16*Assumptions!$C$44</f>
        <v>37004515.454486087</v>
      </c>
      <c r="U62" s="335">
        <f>Fuel!K16*Assumptions!$C$44</f>
        <v>37468205.823461689</v>
      </c>
      <c r="V62" s="335">
        <f>Fuel!L16*Assumptions!$C$44</f>
        <v>37937706.530868694</v>
      </c>
      <c r="W62" s="335">
        <f>Fuel!M16*Assumptions!$C$44</f>
        <v>38413090.383983135</v>
      </c>
      <c r="X62" s="335">
        <f>Fuel!N16*Assumptions!$C$44</f>
        <v>38894431.102403022</v>
      </c>
      <c r="Y62" s="335">
        <f>Fuel!O16*Assumptions!$C$44</f>
        <v>39381803.32948032</v>
      </c>
      <c r="Z62" s="335">
        <f>Fuel!P16*Assumptions!$C$44</f>
        <v>39875282.643896192</v>
      </c>
      <c r="AA62" s="335">
        <f>Fuel!Q16*Assumptions!$C$44</f>
        <v>40374945.571381241</v>
      </c>
      <c r="AB62" s="335">
        <f>Fuel!R16*Assumptions!$C$44</f>
        <v>40880869.596582711</v>
      </c>
      <c r="AC62" s="335">
        <f>Fuel!S16*Assumptions!$C$44</f>
        <v>41393133.175080255</v>
      </c>
      <c r="AD62" s="335">
        <f>Fuel!T16*Assumptions!$C$44</f>
        <v>41911815.745552503</v>
      </c>
      <c r="AE62" s="335">
        <f>Fuel!U16*Assumptions!$C$44</f>
        <v>41911815.745552503</v>
      </c>
      <c r="AF62" s="335">
        <f>Fuel!V16*Assumptions!$C$44</f>
        <v>41911815.745552503</v>
      </c>
      <c r="AG62" s="335">
        <f>Fuel!W16*Assumptions!$C$44</f>
        <v>41911815.745552503</v>
      </c>
      <c r="AH62" s="335">
        <f>Fuel!X16*Assumptions!$C$44</f>
        <v>41911815.745552503</v>
      </c>
      <c r="AI62" s="335">
        <f>Fuel!Y16*Assumptions!$C$44</f>
        <v>41911815.745552503</v>
      </c>
      <c r="AJ62" s="335">
        <f>Fuel!Z16*Assumptions!$C$44</f>
        <v>41911815.745552503</v>
      </c>
      <c r="AK62" s="335">
        <f>Fuel!AA16*Assumptions!$C$44</f>
        <v>41911815.745552503</v>
      </c>
      <c r="AL62" s="335">
        <f>Fuel!AB16*Assumptions!$C$44</f>
        <v>41911815.745552503</v>
      </c>
      <c r="AM62" s="335">
        <f>Fuel!AC16*Assumptions!$C$44</f>
        <v>41911815.745552503</v>
      </c>
      <c r="AN62" s="335">
        <f>Fuel!AD16*Assumptions!$C$44</f>
        <v>41911815.745552503</v>
      </c>
      <c r="AO62" s="335">
        <f>Fuel!AE16*Assumptions!$C$44</f>
        <v>41911815.745552503</v>
      </c>
    </row>
    <row r="63" spans="1:41" s="36" customFormat="1">
      <c r="A63" s="102" t="s">
        <v>316</v>
      </c>
      <c r="C63" s="345">
        <f>ROUND(G63+NPV(Assumptions!$B$4,H63:AO63),-3)</f>
        <v>31632000</v>
      </c>
      <c r="D63" s="99"/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335">
        <f>Fuel!B17*Assumptions!$C$45</f>
        <v>2983117.7423781911</v>
      </c>
      <c r="M63" s="335">
        <f>Fuel!C17*Assumptions!$C$45</f>
        <v>3020498.1255468973</v>
      </c>
      <c r="N63" s="335">
        <f>Fuel!D17*Assumptions!$C$45</f>
        <v>3058346.908948685</v>
      </c>
      <c r="O63" s="335">
        <f>Fuel!E17*Assumptions!$C$45</f>
        <v>3096669.9619396101</v>
      </c>
      <c r="P63" s="335">
        <f>Fuel!F17*Assumptions!$C$45</f>
        <v>3135473.2274225359</v>
      </c>
      <c r="Q63" s="335">
        <f>Fuel!G17*Assumptions!$C$45</f>
        <v>3174762.722768716</v>
      </c>
      <c r="R63" s="335">
        <f>Fuel!H17*Assumptions!$C$45</f>
        <v>3214544.5407509352</v>
      </c>
      <c r="S63" s="335">
        <f>Fuel!I17*Assumptions!$C$45</f>
        <v>3254824.8504883405</v>
      </c>
      <c r="T63" s="335">
        <f>Fuel!J17*Assumptions!$C$45</f>
        <v>3295609.8984031058</v>
      </c>
      <c r="U63" s="335">
        <f>Fuel!K17*Assumptions!$C$45</f>
        <v>3336906.0091890916</v>
      </c>
      <c r="V63" s="335">
        <f>Fuel!L17*Assumptions!$C$45</f>
        <v>3378719.5867926376</v>
      </c>
      <c r="W63" s="335">
        <f>Fuel!M17*Assumptions!$C$45</f>
        <v>3421057.1154056508</v>
      </c>
      <c r="X63" s="335">
        <f>Fuel!N17*Assumptions!$C$45</f>
        <v>3463925.1604711274</v>
      </c>
      <c r="Y63" s="335">
        <f>Fuel!O17*Assumptions!$C$45</f>
        <v>3507330.3697012882</v>
      </c>
      <c r="Z63" s="335">
        <f>Fuel!P17*Assumptions!$C$45</f>
        <v>3551279.4741084632</v>
      </c>
      <c r="AA63" s="335">
        <f>Fuel!Q17*Assumptions!$C$45</f>
        <v>3595779.2890488901</v>
      </c>
      <c r="AB63" s="335">
        <f>Fuel!R17*Assumptions!$C$45</f>
        <v>3640836.7152796066</v>
      </c>
      <c r="AC63" s="335">
        <f>Fuel!S17*Assumptions!$C$45</f>
        <v>3686458.7400285685</v>
      </c>
      <c r="AD63" s="335">
        <f>Fuel!T17*Assumptions!$C$45</f>
        <v>3732652.4380782023</v>
      </c>
      <c r="AE63" s="335">
        <f>Fuel!U17*Assumptions!$C$45</f>
        <v>3732652.4380782023</v>
      </c>
      <c r="AF63" s="335">
        <f>Fuel!V17*Assumptions!$C$45</f>
        <v>3732652.4380782023</v>
      </c>
      <c r="AG63" s="335">
        <f>Fuel!W17*Assumptions!$C$45</f>
        <v>3732652.4380782023</v>
      </c>
      <c r="AH63" s="335">
        <f>Fuel!X17*Assumptions!$C$45</f>
        <v>3732652.4380782023</v>
      </c>
      <c r="AI63" s="335">
        <f>Fuel!Y17*Assumptions!$C$45</f>
        <v>3732652.4380782023</v>
      </c>
      <c r="AJ63" s="335">
        <f>Fuel!Z17*Assumptions!$C$45</f>
        <v>3732652.4380782023</v>
      </c>
      <c r="AK63" s="335">
        <f>Fuel!AA17*Assumptions!$C$45</f>
        <v>3732652.4380782023</v>
      </c>
      <c r="AL63" s="335">
        <f>Fuel!AB17*Assumptions!$C$45</f>
        <v>3732652.4380782023</v>
      </c>
      <c r="AM63" s="335">
        <f>Fuel!AC17*Assumptions!$C$45</f>
        <v>3732652.4380782023</v>
      </c>
      <c r="AN63" s="335">
        <f>Fuel!AD17*Assumptions!$C$45</f>
        <v>3732652.4380782023</v>
      </c>
      <c r="AO63" s="335">
        <f>Fuel!AE17*Assumptions!$C$45</f>
        <v>3732652.4380782023</v>
      </c>
    </row>
    <row r="64" spans="1:41" s="36" customFormat="1">
      <c r="A64" s="102" t="s">
        <v>317</v>
      </c>
      <c r="C64" s="345">
        <f>ROUND(G64+NPV(Assumptions!$B$4,H64:AO64),-3)</f>
        <v>225552000</v>
      </c>
      <c r="D64" s="99"/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335">
        <f>Fuel!B19*Assumptions!$C$44</f>
        <v>15810157.368971402</v>
      </c>
      <c r="M64" s="335">
        <f>Fuel!C19*Assumptions!$C$44</f>
        <v>16492446.927978355</v>
      </c>
      <c r="N64" s="335">
        <f>Fuel!D19*Assumptions!$C$44</f>
        <v>17204180.78861152</v>
      </c>
      <c r="O64" s="335">
        <f>Fuel!E19*Assumptions!$C$44</f>
        <v>17946629.62383784</v>
      </c>
      <c r="P64" s="335">
        <f>Fuel!F19*Assumptions!$C$44</f>
        <v>18721118.942694385</v>
      </c>
      <c r="Q64" s="335">
        <f>Fuel!G19*Assumptions!$C$44</f>
        <v>19529031.456746653</v>
      </c>
      <c r="R64" s="335">
        <f>Fuel!H19*Assumptions!$C$44</f>
        <v>20371809.548671708</v>
      </c>
      <c r="S64" s="335">
        <f>Fuel!I19*Assumptions!$C$44</f>
        <v>21250957.847373374</v>
      </c>
      <c r="T64" s="335">
        <f>Fuel!J19*Assumptions!$C$44</f>
        <v>22168045.914226882</v>
      </c>
      <c r="U64" s="335">
        <f>Fuel!K19*Assumptions!$C$44</f>
        <v>23124711.045248769</v>
      </c>
      <c r="V64" s="335">
        <f>Fuel!L19*Assumptions!$C$44</f>
        <v>24122661.194194853</v>
      </c>
      <c r="W64" s="335">
        <f>Fuel!M19*Assumptions!$C$44</f>
        <v>25163678.021804847</v>
      </c>
      <c r="X64" s="335">
        <f>Fuel!N19*Assumptions!$C$44</f>
        <v>26249620.076637611</v>
      </c>
      <c r="Y64" s="335">
        <f>Fuel!O19*Assumptions!$C$44</f>
        <v>27382426.113175776</v>
      </c>
      <c r="Z64" s="335">
        <f>Fuel!P19*Assumptions!$C$44</f>
        <v>28564118.553123612</v>
      </c>
      <c r="AA64" s="335">
        <f>Fuel!Q19*Assumptions!$C$44</f>
        <v>29796807.096077755</v>
      </c>
      <c r="AB64" s="335">
        <f>Fuel!R19*Assumptions!$C$44</f>
        <v>31082692.486016843</v>
      </c>
      <c r="AC64" s="335">
        <f>Fuel!S19*Assumptions!$C$44</f>
        <v>32424070.440334633</v>
      </c>
      <c r="AD64" s="335">
        <f>Fuel!T19*Assumptions!$C$44</f>
        <v>33823335.748431019</v>
      </c>
      <c r="AE64" s="335">
        <f>Fuel!U19*Assumptions!$C$44</f>
        <v>33823335.748431019</v>
      </c>
      <c r="AF64" s="335">
        <f>Fuel!V19*Assumptions!$C$44</f>
        <v>33823335.748431019</v>
      </c>
      <c r="AG64" s="335">
        <f>Fuel!W19*Assumptions!$C$44</f>
        <v>33823335.748431019</v>
      </c>
      <c r="AH64" s="335">
        <f>Fuel!X19*Assumptions!$C$44</f>
        <v>33823335.748431019</v>
      </c>
      <c r="AI64" s="335">
        <f>Fuel!Y19*Assumptions!$C$44</f>
        <v>33823335.748431019</v>
      </c>
      <c r="AJ64" s="335">
        <f>Fuel!Z19*Assumptions!$C$44</f>
        <v>33823335.748431019</v>
      </c>
      <c r="AK64" s="335">
        <f>Fuel!AA19*Assumptions!$C$44</f>
        <v>33823335.748431019</v>
      </c>
      <c r="AL64" s="335">
        <f>Fuel!AB19*Assumptions!$C$44</f>
        <v>33823335.748431019</v>
      </c>
      <c r="AM64" s="335">
        <f>Fuel!AC19*Assumptions!$C$44</f>
        <v>33823335.748431019</v>
      </c>
      <c r="AN64" s="335">
        <f>Fuel!AD19*Assumptions!$C$44</f>
        <v>33823335.748431019</v>
      </c>
      <c r="AO64" s="335">
        <f>Fuel!AE19*Assumptions!$C$44</f>
        <v>33823335.748431019</v>
      </c>
    </row>
    <row r="65" spans="1:41" s="36" customFormat="1">
      <c r="A65" s="102" t="s">
        <v>318</v>
      </c>
      <c r="C65" s="345">
        <f>ROUND(G65+NPV(Assumptions!$B$4,H65:AO65),-3)</f>
        <v>20088000</v>
      </c>
      <c r="D65" s="99"/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335">
        <f>Fuel!B20*Assumptions!$C$45</f>
        <v>1408047.3823411819</v>
      </c>
      <c r="M65" s="335">
        <f>Fuel!C20*Assumptions!$C$45</f>
        <v>1468811.8646381069</v>
      </c>
      <c r="N65" s="335">
        <f>Fuel!D20*Assumptions!$C$45</f>
        <v>1532198.6466922129</v>
      </c>
      <c r="O65" s="335">
        <f>Fuel!E20*Assumptions!$C$45</f>
        <v>1598320.8942173617</v>
      </c>
      <c r="P65" s="335">
        <f>Fuel!F20*Assumptions!$C$45</f>
        <v>1667296.6566096693</v>
      </c>
      <c r="Q65" s="335">
        <f>Fuel!G20*Assumptions!$C$45</f>
        <v>1739249.0777035011</v>
      </c>
      <c r="R65" s="335">
        <f>Fuel!H20*Assumptions!$C$45</f>
        <v>1814306.6156226681</v>
      </c>
      <c r="S65" s="335">
        <f>Fuel!I20*Assumptions!$C$45</f>
        <v>1892603.2721193344</v>
      </c>
      <c r="T65" s="335">
        <f>Fuel!J20*Assumptions!$C$45</f>
        <v>1974278.8318100744</v>
      </c>
      <c r="U65" s="335">
        <f>Fuel!K20*Assumptions!$C$45</f>
        <v>2059479.1117361994</v>
      </c>
      <c r="V65" s="335">
        <f>Fuel!L20*Assumptions!$C$45</f>
        <v>2148356.2216938939</v>
      </c>
      <c r="W65" s="335">
        <f>Fuel!M20*Assumptions!$C$45</f>
        <v>2241068.8357989322</v>
      </c>
      <c r="X65" s="335">
        <f>Fuel!N20*Assumptions!$C$45</f>
        <v>2337782.4757708129</v>
      </c>
      <c r="Y65" s="335">
        <f>Fuel!O20*Assumptions!$C$45</f>
        <v>2438669.8064420591</v>
      </c>
      <c r="Z65" s="335">
        <f>Fuel!P20*Assumptions!$C$45</f>
        <v>2543910.9440202587</v>
      </c>
      <c r="AA65" s="335">
        <f>Fuel!Q20*Assumptions!$C$45</f>
        <v>2653693.7776532089</v>
      </c>
      <c r="AB65" s="335">
        <f>Fuel!R20*Assumptions!$C$45</f>
        <v>2768214.3048712309</v>
      </c>
      <c r="AC65" s="335">
        <f>Fuel!S20*Assumptions!$C$45</f>
        <v>2887676.981505563</v>
      </c>
      <c r="AD65" s="335">
        <f>Fuel!T20*Assumptions!$C$45</f>
        <v>3012295.0867075175</v>
      </c>
      <c r="AE65" s="335">
        <f>Fuel!U20*Assumptions!$C$45</f>
        <v>3012295.0867075175</v>
      </c>
      <c r="AF65" s="335">
        <f>Fuel!V20*Assumptions!$C$45</f>
        <v>3012295.0867075175</v>
      </c>
      <c r="AG65" s="335">
        <f>Fuel!W20*Assumptions!$C$45</f>
        <v>3012295.0867075175</v>
      </c>
      <c r="AH65" s="335">
        <f>Fuel!X20*Assumptions!$C$45</f>
        <v>3012295.0867075175</v>
      </c>
      <c r="AI65" s="335">
        <f>Fuel!Y20*Assumptions!$C$45</f>
        <v>3012295.0867075175</v>
      </c>
      <c r="AJ65" s="335">
        <f>Fuel!Z20*Assumptions!$C$45</f>
        <v>3012295.0867075175</v>
      </c>
      <c r="AK65" s="335">
        <f>Fuel!AA20*Assumptions!$C$45</f>
        <v>3012295.0867075175</v>
      </c>
      <c r="AL65" s="335">
        <f>Fuel!AB20*Assumptions!$C$45</f>
        <v>3012295.0867075175</v>
      </c>
      <c r="AM65" s="335">
        <f>Fuel!AC20*Assumptions!$C$45</f>
        <v>3012295.0867075175</v>
      </c>
      <c r="AN65" s="335">
        <f>Fuel!AD20*Assumptions!$C$45</f>
        <v>3012295.0867075175</v>
      </c>
      <c r="AO65" s="335">
        <f>Fuel!AE20*Assumptions!$C$45</f>
        <v>3012295.0867075175</v>
      </c>
    </row>
    <row r="66" spans="1:41" s="36" customFormat="1">
      <c r="A66" s="98" t="s">
        <v>319</v>
      </c>
      <c r="C66" s="96">
        <f>ROUND(G66+NPV(Assumptions!$B$4,H66:AO66),-3)</f>
        <v>141169000</v>
      </c>
      <c r="D66" s="99"/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99">
        <f>SUM(L62:L63)-SUM(L64:L65)</f>
        <v>19260633.05607529</v>
      </c>
      <c r="M66" s="99">
        <f>SUM(M62:M63)-SUM(M64:M65)</f>
        <v>18974682.304868892</v>
      </c>
      <c r="N66" s="99">
        <f t="shared" ref="N66:AO66" si="99">SUM(N62:N63)-SUM(N64:N65)</f>
        <v>18662392.750377305</v>
      </c>
      <c r="O66" s="99">
        <f t="shared" si="99"/>
        <v>18322452.326912336</v>
      </c>
      <c r="P66" s="99">
        <f t="shared" si="99"/>
        <v>17953490.148395095</v>
      </c>
      <c r="Q66" s="99">
        <f t="shared" si="99"/>
        <v>17554073.942411397</v>
      </c>
      <c r="R66" s="99">
        <f t="shared" si="99"/>
        <v>17122707.373188123</v>
      </c>
      <c r="S66" s="99">
        <f t="shared" si="99"/>
        <v>16657827.248692974</v>
      </c>
      <c r="T66" s="99">
        <f t="shared" si="99"/>
        <v>16157800.606852237</v>
      </c>
      <c r="U66" s="99">
        <f t="shared" si="99"/>
        <v>15620921.675665811</v>
      </c>
      <c r="V66" s="99">
        <f t="shared" si="99"/>
        <v>15045408.701772586</v>
      </c>
      <c r="W66" s="99">
        <f t="shared" si="99"/>
        <v>14429400.641785003</v>
      </c>
      <c r="X66" s="99">
        <f t="shared" si="99"/>
        <v>13770953.710465726</v>
      </c>
      <c r="Y66" s="99">
        <f t="shared" si="99"/>
        <v>13068037.779563773</v>
      </c>
      <c r="Z66" s="99">
        <f t="shared" si="99"/>
        <v>12318532.620860785</v>
      </c>
      <c r="AA66" s="99">
        <f t="shared" si="99"/>
        <v>11520223.986699164</v>
      </c>
      <c r="AB66" s="99">
        <f t="shared" si="99"/>
        <v>10670799.520974249</v>
      </c>
      <c r="AC66" s="99">
        <f t="shared" si="99"/>
        <v>9767844.4932686239</v>
      </c>
      <c r="AD66" s="99">
        <f t="shared" si="99"/>
        <v>8808837.3484921679</v>
      </c>
      <c r="AE66" s="99">
        <f t="shared" si="99"/>
        <v>8808837.3484921679</v>
      </c>
      <c r="AF66" s="99">
        <f t="shared" si="99"/>
        <v>8808837.3484921679</v>
      </c>
      <c r="AG66" s="99">
        <f t="shared" si="99"/>
        <v>8808837.3484921679</v>
      </c>
      <c r="AH66" s="99">
        <f t="shared" si="99"/>
        <v>8808837.3484921679</v>
      </c>
      <c r="AI66" s="99">
        <f t="shared" si="99"/>
        <v>8808837.3484921679</v>
      </c>
      <c r="AJ66" s="99">
        <f t="shared" si="99"/>
        <v>8808837.3484921679</v>
      </c>
      <c r="AK66" s="99">
        <f t="shared" si="99"/>
        <v>8808837.3484921679</v>
      </c>
      <c r="AL66" s="99">
        <f t="shared" si="99"/>
        <v>8808837.3484921679</v>
      </c>
      <c r="AM66" s="99">
        <f t="shared" si="99"/>
        <v>8808837.3484921679</v>
      </c>
      <c r="AN66" s="99">
        <f t="shared" si="99"/>
        <v>8808837.3484921679</v>
      </c>
      <c r="AO66" s="99">
        <f t="shared" si="99"/>
        <v>8808837.3484921679</v>
      </c>
    </row>
    <row r="67" spans="1:41" s="36" customFormat="1">
      <c r="A67" s="98"/>
      <c r="C67" s="96"/>
      <c r="D67" s="99"/>
      <c r="E67" s="48"/>
      <c r="F67" s="48"/>
      <c r="G67" s="48"/>
      <c r="H67" s="48"/>
      <c r="I67" s="48"/>
      <c r="J67" s="48"/>
      <c r="K67" s="48"/>
      <c r="L67" s="48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</row>
    <row r="68" spans="1:41">
      <c r="A68" s="8" t="s">
        <v>22</v>
      </c>
      <c r="C68" s="15"/>
      <c r="I68" s="14"/>
    </row>
    <row r="69" spans="1:41">
      <c r="A69" s="102" t="s">
        <v>121</v>
      </c>
      <c r="C69" s="15"/>
      <c r="E69" s="48">
        <v>1</v>
      </c>
      <c r="F69" s="48">
        <v>1</v>
      </c>
      <c r="G69" s="48">
        <v>1</v>
      </c>
      <c r="H69" s="48">
        <v>1</v>
      </c>
      <c r="I69" s="48">
        <v>1</v>
      </c>
      <c r="J69" s="48">
        <v>1</v>
      </c>
      <c r="K69" s="48">
        <v>1</v>
      </c>
      <c r="L69" s="48">
        <v>1</v>
      </c>
      <c r="M69" s="48">
        <v>1</v>
      </c>
      <c r="N69" s="48">
        <v>1</v>
      </c>
      <c r="O69" s="48">
        <v>1</v>
      </c>
      <c r="P69" s="48">
        <v>1</v>
      </c>
      <c r="Q69" s="48">
        <v>1</v>
      </c>
      <c r="R69" s="48">
        <v>1</v>
      </c>
      <c r="S69" s="48">
        <v>1</v>
      </c>
      <c r="T69" s="48">
        <v>1</v>
      </c>
      <c r="U69" s="48">
        <v>1</v>
      </c>
      <c r="V69" s="48">
        <v>1</v>
      </c>
      <c r="W69" s="48">
        <v>2</v>
      </c>
      <c r="X69" s="48">
        <v>2</v>
      </c>
      <c r="Y69" s="48">
        <v>2</v>
      </c>
      <c r="Z69" s="48">
        <v>2</v>
      </c>
      <c r="AA69" s="48">
        <v>2</v>
      </c>
      <c r="AB69" s="48">
        <v>2</v>
      </c>
      <c r="AC69" s="48">
        <v>2</v>
      </c>
      <c r="AD69" s="48">
        <v>2</v>
      </c>
      <c r="AE69" s="48">
        <v>2</v>
      </c>
      <c r="AF69" s="48">
        <v>2</v>
      </c>
      <c r="AG69" s="48">
        <v>2</v>
      </c>
      <c r="AH69" s="48">
        <v>2</v>
      </c>
      <c r="AI69" s="48">
        <v>2</v>
      </c>
      <c r="AJ69" s="48">
        <v>2</v>
      </c>
      <c r="AK69" s="48">
        <v>2</v>
      </c>
      <c r="AL69" s="48">
        <v>2</v>
      </c>
      <c r="AM69" s="48">
        <v>2</v>
      </c>
      <c r="AN69" s="48">
        <v>2</v>
      </c>
      <c r="AO69" s="48">
        <v>2</v>
      </c>
    </row>
    <row r="70" spans="1:41" s="46" customFormat="1">
      <c r="A70" s="110" t="s">
        <v>178</v>
      </c>
      <c r="C70" s="47"/>
      <c r="E70" s="52"/>
      <c r="F70" s="52"/>
      <c r="G70" s="52"/>
      <c r="H70" s="52"/>
      <c r="I70" s="52"/>
      <c r="J70" s="52"/>
      <c r="AO70" s="48"/>
    </row>
    <row r="71" spans="1:41" s="46" customFormat="1">
      <c r="A71" s="73" t="s">
        <v>50</v>
      </c>
      <c r="C71" s="47"/>
      <c r="E71" s="52"/>
      <c r="F71" s="52"/>
      <c r="G71" s="52"/>
      <c r="H71" s="52"/>
      <c r="I71" s="52"/>
      <c r="J71" s="52"/>
      <c r="AO71" s="48"/>
    </row>
    <row r="72" spans="1:41" s="46" customFormat="1">
      <c r="A72" s="111" t="s">
        <v>51</v>
      </c>
      <c r="C72" s="47">
        <f>ROUND(G72+NPV(Assumptions!$B$4,H72:AO72),-3)</f>
        <v>41000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55">
        <f>Emissions!B52*Assumptions!$C$52</f>
        <v>6986.3039949633703</v>
      </c>
      <c r="M72" s="55">
        <f>Emissions!C52*Assumptions!$C$52</f>
        <v>6558.7223062382755</v>
      </c>
      <c r="N72" s="55">
        <f>Emissions!D52*Assumptions!$C$52</f>
        <v>6157.30983383483</v>
      </c>
      <c r="O72" s="55">
        <f>Emissions!E52*Assumptions!$C$52</f>
        <v>5780.4649472320189</v>
      </c>
      <c r="P72" s="55">
        <f>Emissions!F52*Assumptions!$C$52</f>
        <v>5426.6840402552334</v>
      </c>
      <c r="Q72" s="55">
        <f>Emissions!G52*Assumptions!$C$52</f>
        <v>5094.5555317072703</v>
      </c>
      <c r="R72" s="55">
        <f>Emissions!H52*Assumptions!$C$52</f>
        <v>4782.754233177805</v>
      </c>
      <c r="S72" s="55">
        <f>Emissions!I52*Assumptions!$C$52</f>
        <v>4490.0360615589379</v>
      </c>
      <c r="T72" s="55">
        <f>Emissions!J52*Assumptions!$C$52</f>
        <v>4215.233075169851</v>
      </c>
      <c r="U72" s="55">
        <f>Emissions!K52*Assumptions!$C$52</f>
        <v>3957.2488136847542</v>
      </c>
      <c r="V72" s="55">
        <f>Emissions!L52*Assumptions!$C$52</f>
        <v>3715.0539232705169</v>
      </c>
      <c r="W72" s="55">
        <f>Emissions!M52*Assumptions!$C$52</f>
        <v>3487.6820494783105</v>
      </c>
      <c r="X72" s="55">
        <f>Emissions!N52*Assumptions!$C$52</f>
        <v>3274.2259815019902</v>
      </c>
      <c r="Y72" s="55">
        <f>Emissions!O52*Assumptions!$C$52</f>
        <v>3073.8340324188257</v>
      </c>
      <c r="Z72" s="55">
        <f>Emissions!P52*Assumptions!$C$52</f>
        <v>2885.7066409698077</v>
      </c>
      <c r="AA72" s="55">
        <f>Emissions!Q52*Assumptions!$C$52</f>
        <v>2709.0931813206671</v>
      </c>
      <c r="AB72" s="55">
        <f>Emissions!R52*Assumptions!$C$52</f>
        <v>2543.2889680746034</v>
      </c>
      <c r="AC72" s="55">
        <f>Emissions!S52*Assumptions!$C$52</f>
        <v>2387.6324445867581</v>
      </c>
      <c r="AD72" s="55">
        <f>Emissions!T52*Assumptions!$C$52</f>
        <v>2241.5025433618453</v>
      </c>
      <c r="AE72" s="55">
        <f>Emissions!U52*Assumptions!$C$52</f>
        <v>2241.5025433618453</v>
      </c>
      <c r="AF72" s="55">
        <f>Emissions!V52*Assumptions!$C$52</f>
        <v>2241.5025433618453</v>
      </c>
      <c r="AG72" s="55">
        <f>Emissions!W52*Assumptions!$C$52</f>
        <v>2241.5025433618453</v>
      </c>
      <c r="AH72" s="55">
        <f>Emissions!X52*Assumptions!$C$52</f>
        <v>2241.5025433618453</v>
      </c>
      <c r="AI72" s="55">
        <f>Emissions!Y52*Assumptions!$C$52</f>
        <v>2241.5025433618453</v>
      </c>
      <c r="AJ72" s="55">
        <f>Emissions!Z52*Assumptions!$C$52</f>
        <v>2241.5025433618453</v>
      </c>
      <c r="AK72" s="55">
        <f>Emissions!AA52*Assumptions!$C$52</f>
        <v>2241.5025433618453</v>
      </c>
      <c r="AL72" s="55">
        <f>Emissions!AB52*Assumptions!$C$52</f>
        <v>2241.5025433618453</v>
      </c>
      <c r="AM72" s="55">
        <f>Emissions!AC52*Assumptions!$C$52</f>
        <v>2241.5025433618453</v>
      </c>
      <c r="AN72" s="55">
        <f>Emissions!AD52*Assumptions!$C$52</f>
        <v>2241.5025433618453</v>
      </c>
      <c r="AO72" s="55">
        <f>Emissions!AE52*Assumptions!$C$52</f>
        <v>2241.5025433618453</v>
      </c>
    </row>
    <row r="73" spans="1:41" s="46" customFormat="1">
      <c r="A73" s="111" t="s">
        <v>52</v>
      </c>
      <c r="C73" s="47">
        <f>ROUND(G73+NPV(Assumptions!$B$4,H73:AO73),-3)</f>
        <v>275000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55">
        <f>Emissions!B53*Assumptions!$C$53</f>
        <v>34306.80080814565</v>
      </c>
      <c r="M73" s="55">
        <f>Emissions!C53*Assumptions!$C$53</f>
        <v>33639.55090246594</v>
      </c>
      <c r="N73" s="55">
        <f>Emissions!D53*Assumptions!$C$53</f>
        <v>32985.278669613246</v>
      </c>
      <c r="O73" s="55">
        <f>Emissions!E53*Assumptions!$C$53</f>
        <v>32343.73170042186</v>
      </c>
      <c r="P73" s="55">
        <f>Emissions!F53*Assumptions!$C$53</f>
        <v>31714.662494956574</v>
      </c>
      <c r="Q73" s="55">
        <f>Emissions!G53*Assumptions!$C$53</f>
        <v>31097.828367030575</v>
      </c>
      <c r="R73" s="55">
        <f>Emissions!H53*Assumptions!$C$53</f>
        <v>30492.991350580523</v>
      </c>
      <c r="S73" s="55">
        <f>Emissions!I53*Assumptions!$C$53</f>
        <v>29899.918107862541</v>
      </c>
      <c r="T73" s="55">
        <f>Emissions!J53*Assumptions!$C$53</f>
        <v>29318.379839433699</v>
      </c>
      <c r="U73" s="55">
        <f>Emissions!K53*Assumptions!$C$53</f>
        <v>28748.152195884402</v>
      </c>
      <c r="V73" s="55">
        <f>Emissions!L53*Assumptions!$C$53</f>
        <v>28189.015191287483</v>
      </c>
      <c r="W73" s="55">
        <f>Emissions!M53*Assumptions!$C$53</f>
        <v>27640.753118330671</v>
      </c>
      <c r="X73" s="55">
        <f>Emissions!N53*Assumptions!$C$53</f>
        <v>27103.154465099702</v>
      </c>
      <c r="Y73" s="55">
        <f>Emissions!O53*Assumptions!$C$53</f>
        <v>26576.011833479955</v>
      </c>
      <c r="Z73" s="55">
        <f>Emissions!P53*Assumptions!$C$53</f>
        <v>26059.121859145132</v>
      </c>
      <c r="AA73" s="55">
        <f>Emissions!Q53*Assumptions!$C$53</f>
        <v>25552.285133102116</v>
      </c>
      <c r="AB73" s="55">
        <f>Emissions!R53*Assumptions!$C$53</f>
        <v>25055.306124761726</v>
      </c>
      <c r="AC73" s="55">
        <f>Emissions!S53*Assumptions!$C$53</f>
        <v>24567.993106505768</v>
      </c>
      <c r="AD73" s="55">
        <f>Emissions!T53*Assumptions!$C$53</f>
        <v>24090.158079721201</v>
      </c>
      <c r="AE73" s="55">
        <f>Emissions!U53*Assumptions!$C$53</f>
        <v>24090.158079721201</v>
      </c>
      <c r="AF73" s="55">
        <f>Emissions!V53*Assumptions!$C$53</f>
        <v>24090.158079721201</v>
      </c>
      <c r="AG73" s="55">
        <f>Emissions!W53*Assumptions!$C$53</f>
        <v>24090.158079721201</v>
      </c>
      <c r="AH73" s="55">
        <f>Emissions!X53*Assumptions!$C$53</f>
        <v>24090.158079721201</v>
      </c>
      <c r="AI73" s="55">
        <f>Emissions!Y53*Assumptions!$C$53</f>
        <v>24090.158079721201</v>
      </c>
      <c r="AJ73" s="55">
        <f>Emissions!Z53*Assumptions!$C$53</f>
        <v>24090.158079721201</v>
      </c>
      <c r="AK73" s="55">
        <f>Emissions!AA53*Assumptions!$C$53</f>
        <v>24090.158079721201</v>
      </c>
      <c r="AL73" s="55">
        <f>Emissions!AB53*Assumptions!$C$53</f>
        <v>24090.158079721201</v>
      </c>
      <c r="AM73" s="55">
        <f>Emissions!AC53*Assumptions!$C$53</f>
        <v>24090.158079721201</v>
      </c>
      <c r="AN73" s="55">
        <f>Emissions!AD53*Assumptions!$C$53</f>
        <v>24090.158079721201</v>
      </c>
      <c r="AO73" s="55">
        <f>Emissions!AE53*Assumptions!$C$53</f>
        <v>24090.158079721201</v>
      </c>
    </row>
    <row r="74" spans="1:41" s="46" customFormat="1">
      <c r="A74" s="111" t="s">
        <v>53</v>
      </c>
      <c r="C74" s="47">
        <f>ROUND(G74+NPV(Assumptions!$B$4,H74:AO74),-3)</f>
        <v>1513000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55">
        <f>Emissions!B54*Assumptions!$C$54</f>
        <v>160749.09540008308</v>
      </c>
      <c r="M74" s="55">
        <f>Emissions!C54*Assumptions!$C$54</f>
        <v>160639.41663535437</v>
      </c>
      <c r="N74" s="55">
        <f>Emissions!D54*Assumptions!$C$54</f>
        <v>160529.81270421273</v>
      </c>
      <c r="O74" s="55">
        <f>Emissions!E54*Assumptions!$C$54</f>
        <v>160420.2835555994</v>
      </c>
      <c r="P74" s="55">
        <f>Emissions!F54*Assumptions!$C$54</f>
        <v>160310.82913849043</v>
      </c>
      <c r="Q74" s="55">
        <f>Emissions!G54*Assumptions!$C$54</f>
        <v>160201.44940189665</v>
      </c>
      <c r="R74" s="55">
        <f>Emissions!H54*Assumptions!$C$54</f>
        <v>160092.14429486371</v>
      </c>
      <c r="S74" s="55">
        <f>Emissions!I54*Assumptions!$C$54</f>
        <v>159982.91376647205</v>
      </c>
      <c r="T74" s="55">
        <f>Emissions!J54*Assumptions!$C$54</f>
        <v>159873.75776583678</v>
      </c>
      <c r="U74" s="55">
        <f>Emissions!K54*Assumptions!$C$54</f>
        <v>159764.67624210779</v>
      </c>
      <c r="V74" s="55">
        <f>Emissions!L54*Assumptions!$C$54</f>
        <v>159655.66914446966</v>
      </c>
      <c r="W74" s="55">
        <f>Emissions!M54*Assumptions!$C$54</f>
        <v>159546.73642214161</v>
      </c>
      <c r="X74" s="55">
        <f>Emissions!N54*Assumptions!$C$54</f>
        <v>159437.87802437751</v>
      </c>
      <c r="Y74" s="55">
        <f>Emissions!O54*Assumptions!$C$54</f>
        <v>159329.09390046587</v>
      </c>
      <c r="Z74" s="55">
        <f>Emissions!P54*Assumptions!$C$54</f>
        <v>159220.38399972982</v>
      </c>
      <c r="AA74" s="55">
        <f>Emissions!Q54*Assumptions!$C$54</f>
        <v>159111.74827152709</v>
      </c>
      <c r="AB74" s="55">
        <f>Emissions!R54*Assumptions!$C$54</f>
        <v>159003.18666524981</v>
      </c>
      <c r="AC74" s="55">
        <f>Emissions!S54*Assumptions!$C$54</f>
        <v>158894.69913032485</v>
      </c>
      <c r="AD74" s="55">
        <f>Emissions!T54*Assumptions!$C$54</f>
        <v>158786.28561621372</v>
      </c>
      <c r="AE74" s="55">
        <f>Emissions!U54*Assumptions!$C$54</f>
        <v>158786.28561621372</v>
      </c>
      <c r="AF74" s="55">
        <f>Emissions!V54*Assumptions!$C$54</f>
        <v>158786.28561621372</v>
      </c>
      <c r="AG74" s="55">
        <f>Emissions!W54*Assumptions!$C$54</f>
        <v>158786.28561621372</v>
      </c>
      <c r="AH74" s="55">
        <f>Emissions!X54*Assumptions!$C$54</f>
        <v>158786.28561621372</v>
      </c>
      <c r="AI74" s="55">
        <f>Emissions!Y54*Assumptions!$C$54</f>
        <v>158786.28561621372</v>
      </c>
      <c r="AJ74" s="55">
        <f>Emissions!Z54*Assumptions!$C$54</f>
        <v>158786.28561621372</v>
      </c>
      <c r="AK74" s="55">
        <f>Emissions!AA54*Assumptions!$C$54</f>
        <v>158786.28561621372</v>
      </c>
      <c r="AL74" s="55">
        <f>Emissions!AB54*Assumptions!$C$54</f>
        <v>158786.28561621372</v>
      </c>
      <c r="AM74" s="55">
        <f>Emissions!AC54*Assumptions!$C$54</f>
        <v>158786.28561621372</v>
      </c>
      <c r="AN74" s="55">
        <f>Emissions!AD54*Assumptions!$C$54</f>
        <v>158786.28561621372</v>
      </c>
      <c r="AO74" s="55">
        <f>Emissions!AE54*Assumptions!$C$54</f>
        <v>158786.28561621372</v>
      </c>
    </row>
    <row r="75" spans="1:41" s="46" customFormat="1">
      <c r="A75" s="111" t="s">
        <v>54</v>
      </c>
      <c r="C75" s="47">
        <f>ROUND(G75+NPV(Assumptions!$B$4,H75:AO75),-3)</f>
        <v>385000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55">
        <f>Emissions!B55*D$69</f>
        <v>0</v>
      </c>
      <c r="M75" s="55">
        <f>Emissions!C55*E$69</f>
        <v>37539.837209873047</v>
      </c>
      <c r="N75" s="55">
        <f>Emissions!D55*F$69</f>
        <v>37514.223859060403</v>
      </c>
      <c r="O75" s="55">
        <f>Emissions!E55*G$69</f>
        <v>37488.627984182356</v>
      </c>
      <c r="P75" s="55">
        <f>Emissions!F55*H$69</f>
        <v>37463.049573315111</v>
      </c>
      <c r="Q75" s="55">
        <f>Emissions!G55*I$69</f>
        <v>37437.488614543028</v>
      </c>
      <c r="R75" s="55">
        <f>Emissions!H55*J$69</f>
        <v>37411.945095958552</v>
      </c>
      <c r="S75" s="55">
        <f>Emissions!I55*K$69</f>
        <v>37386.41900566229</v>
      </c>
      <c r="T75" s="55">
        <f>Emissions!J55*L$69</f>
        <v>37360.910331762963</v>
      </c>
      <c r="U75" s="55">
        <f>Emissions!K55*M$69</f>
        <v>37335.419062377397</v>
      </c>
      <c r="V75" s="55">
        <f>Emissions!L55*N$69</f>
        <v>37309.945185630531</v>
      </c>
      <c r="W75" s="55">
        <f>Emissions!M55*O$69</f>
        <v>37284.488689655409</v>
      </c>
      <c r="X75" s="55">
        <f>Emissions!N55*P$69</f>
        <v>37259.049562593151</v>
      </c>
      <c r="Y75" s="55">
        <f>Emissions!O55*Q$69</f>
        <v>37233.627792593004</v>
      </c>
      <c r="Z75" s="55">
        <f>Emissions!P55*R$69</f>
        <v>37208.223367812272</v>
      </c>
      <c r="AA75" s="55">
        <f>Emissions!Q55*S$69</f>
        <v>37182.836276416354</v>
      </c>
      <c r="AB75" s="55">
        <f>Emissions!R55*T$69</f>
        <v>37157.466506578719</v>
      </c>
      <c r="AC75" s="55">
        <f>Emissions!S55*U$69</f>
        <v>37132.114046480892</v>
      </c>
      <c r="AD75" s="55">
        <f>Emissions!T55*V$69</f>
        <v>37106.778884312589</v>
      </c>
      <c r="AE75" s="55">
        <f>Emissions!U55*W$69</f>
        <v>74213.557768625178</v>
      </c>
      <c r="AF75" s="55">
        <f>Emissions!V55*X$69</f>
        <v>74213.557768625178</v>
      </c>
      <c r="AG75" s="55">
        <f>Emissions!W55*Y$69</f>
        <v>74213.557768625178</v>
      </c>
      <c r="AH75" s="55">
        <f>Emissions!X55*Z$69</f>
        <v>74213.557768625178</v>
      </c>
      <c r="AI75" s="55">
        <f>Emissions!Y55*AA$69</f>
        <v>74213.557768625178</v>
      </c>
      <c r="AJ75" s="55">
        <f>Emissions!Z55*AB$69</f>
        <v>74213.557768625178</v>
      </c>
      <c r="AK75" s="55">
        <f>Emissions!AA55*AC$69</f>
        <v>74213.557768625178</v>
      </c>
      <c r="AL75" s="55">
        <f>Emissions!AB55*AD$69</f>
        <v>74213.557768625178</v>
      </c>
      <c r="AM75" s="55">
        <f>Emissions!AC55*AE$69</f>
        <v>74213.557768625178</v>
      </c>
      <c r="AN75" s="55">
        <f>Emissions!AD55*AF$69</f>
        <v>74213.557768625178</v>
      </c>
      <c r="AO75" s="55">
        <f>Emissions!AE55*AG$69</f>
        <v>74213.557768625178</v>
      </c>
    </row>
    <row r="76" spans="1:41" s="46" customFormat="1">
      <c r="A76" s="111" t="s">
        <v>55</v>
      </c>
      <c r="C76" s="47">
        <f>ROUND(G76+NPV(Assumptions!$B$4,H76:AO76),-3)</f>
        <v>214000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55">
        <f>Emissions!B56*Assumptions!$C$55</f>
        <v>30791.321726873921</v>
      </c>
      <c r="M76" s="55">
        <f>Emissions!C56*Assumptions!$C$55</f>
        <v>29639.023446347663</v>
      </c>
      <c r="N76" s="55">
        <f>Emissions!D56*Assumptions!$C$55</f>
        <v>28529.847424069412</v>
      </c>
      <c r="O76" s="55">
        <f>Emissions!E56*Assumptions!$C$55</f>
        <v>27462.179903264703</v>
      </c>
      <c r="P76" s="55">
        <f>Emissions!F56*Assumptions!$C$55</f>
        <v>26434.467518498317</v>
      </c>
      <c r="Q76" s="55">
        <f>Emissions!G56*Assumptions!$C$55</f>
        <v>25445.21503565969</v>
      </c>
      <c r="R76" s="55">
        <f>Emissions!H56*Assumptions!$C$55</f>
        <v>24492.983176524485</v>
      </c>
      <c r="S76" s="55">
        <f>Emissions!I56*Assumptions!$C$55</f>
        <v>23576.386524727131</v>
      </c>
      <c r="T76" s="55">
        <f>Emissions!J56*Assumptions!$C$55</f>
        <v>22694.0915100979</v>
      </c>
      <c r="U76" s="55">
        <f>Emissions!K56*Assumptions!$C$55</f>
        <v>21844.814468431709</v>
      </c>
      <c r="V76" s="55">
        <f>Emissions!L56*Assumptions!$C$55</f>
        <v>21027.319773865882</v>
      </c>
      <c r="W76" s="55">
        <f>Emissions!M56*Assumptions!$C$55</f>
        <v>20240.418041149605</v>
      </c>
      <c r="X76" s="55">
        <f>Emissions!N56*Assumptions!$C$55</f>
        <v>19482.96439518956</v>
      </c>
      <c r="Y76" s="55">
        <f>Emissions!O56*Assumptions!$C$55</f>
        <v>18753.856805354037</v>
      </c>
      <c r="Z76" s="55">
        <f>Emissions!P56*Assumptions!$C$55</f>
        <v>18052.034482112082</v>
      </c>
      <c r="AA76" s="55">
        <f>Emissions!Q56*Assumptions!$C$55</f>
        <v>17376.476333674967</v>
      </c>
      <c r="AB76" s="55">
        <f>Emissions!R56*Assumptions!$C$55</f>
        <v>16726.199480394473</v>
      </c>
      <c r="AC76" s="55">
        <f>Emissions!S56*Assumptions!$C$55</f>
        <v>16100.257824756607</v>
      </c>
      <c r="AD76" s="55">
        <f>Emissions!T56*Assumptions!$C$55</f>
        <v>15497.740674890218</v>
      </c>
      <c r="AE76" s="55">
        <f>Emissions!U56*Assumptions!$C$55</f>
        <v>15497.740674890218</v>
      </c>
      <c r="AF76" s="55">
        <f>Emissions!V56*Assumptions!$C$55</f>
        <v>15497.740674890218</v>
      </c>
      <c r="AG76" s="55">
        <f>Emissions!W56*Assumptions!$C$55</f>
        <v>15497.740674890218</v>
      </c>
      <c r="AH76" s="55">
        <f>Emissions!X56*Assumptions!$C$55</f>
        <v>15497.740674890218</v>
      </c>
      <c r="AI76" s="55">
        <f>Emissions!Y56*Assumptions!$C$55</f>
        <v>15497.740674890218</v>
      </c>
      <c r="AJ76" s="55">
        <f>Emissions!Z56*Assumptions!$C$55</f>
        <v>15497.740674890218</v>
      </c>
      <c r="AK76" s="55">
        <f>Emissions!AA56*Assumptions!$C$55</f>
        <v>15497.740674890218</v>
      </c>
      <c r="AL76" s="55">
        <f>Emissions!AB56*Assumptions!$C$55</f>
        <v>15497.740674890218</v>
      </c>
      <c r="AM76" s="55">
        <f>Emissions!AC56*Assumptions!$C$55</f>
        <v>15497.740674890218</v>
      </c>
      <c r="AN76" s="55">
        <f>Emissions!AD56*Assumptions!$C$55</f>
        <v>15497.740674890218</v>
      </c>
      <c r="AO76" s="55">
        <f>Emissions!AE56*Assumptions!$C$55</f>
        <v>15497.740674890218</v>
      </c>
    </row>
    <row r="77" spans="1:41" s="46" customFormat="1">
      <c r="A77" s="73" t="s">
        <v>56</v>
      </c>
      <c r="C77" s="47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</row>
    <row r="78" spans="1:41" s="46" customFormat="1">
      <c r="A78" s="111" t="s">
        <v>51</v>
      </c>
      <c r="C78" s="47">
        <f>ROUND(G78+NPV(Assumptions!$B$4,H78:AO78),-3)</f>
        <v>2000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55">
        <f>Emissions!B58*Assumptions!$C$52</f>
        <v>151.0505380812985</v>
      </c>
      <c r="M78" s="55">
        <f>Emissions!C58*Assumptions!$C$52</f>
        <v>152.82715309113541</v>
      </c>
      <c r="N78" s="55">
        <f>Emissions!D58*Assumptions!$C$52</f>
        <v>154.62466415955825</v>
      </c>
      <c r="O78" s="55">
        <f>Emissions!E58*Assumptions!$C$52</f>
        <v>156.44331706027822</v>
      </c>
      <c r="P78" s="55">
        <f>Emissions!F58*Assumptions!$C$52</f>
        <v>158.28336045772957</v>
      </c>
      <c r="Q78" s="55">
        <f>Emissions!G58*Assumptions!$C$52</f>
        <v>160.1450459410695</v>
      </c>
      <c r="R78" s="55">
        <f>Emissions!H58*Assumptions!$C$52</f>
        <v>162.02862805857768</v>
      </c>
      <c r="S78" s="55">
        <f>Emissions!I58*Assumptions!$C$52</f>
        <v>163.93436435246113</v>
      </c>
      <c r="T78" s="55">
        <f>Emissions!J58*Assumptions!$C$52</f>
        <v>165.86251539406749</v>
      </c>
      <c r="U78" s="55">
        <f>Emissions!K58*Assumptions!$C$52</f>
        <v>167.81334481951325</v>
      </c>
      <c r="V78" s="55">
        <f>Emissions!L58*Assumptions!$C$52</f>
        <v>169.78711936573049</v>
      </c>
      <c r="W78" s="55">
        <f>Emissions!M58*Assumptions!$C$52</f>
        <v>171.78410890693809</v>
      </c>
      <c r="X78" s="55">
        <f>Emissions!N58*Assumptions!$C$52</f>
        <v>173.80458649154139</v>
      </c>
      <c r="Y78" s="55">
        <f>Emissions!O58*Assumptions!$C$52</f>
        <v>175.84882837946617</v>
      </c>
      <c r="Z78" s="55">
        <f>Emissions!P58*Assumptions!$C$52</f>
        <v>177.91711407993188</v>
      </c>
      <c r="AA78" s="55">
        <f>Emissions!Q58*Assumptions!$C$52</f>
        <v>180.00972638966857</v>
      </c>
      <c r="AB78" s="55">
        <f>Emissions!R58*Assumptions!$C$52</f>
        <v>182.12695143158399</v>
      </c>
      <c r="AC78" s="55">
        <f>Emissions!S58*Assumptions!$C$52</f>
        <v>184.26907869388501</v>
      </c>
      <c r="AD78" s="55">
        <f>Emissions!T58*Assumptions!$C$52</f>
        <v>186.43640106966004</v>
      </c>
      <c r="AE78" s="55">
        <f>Emissions!U58*Assumptions!$C$52</f>
        <v>186.43640106966004</v>
      </c>
      <c r="AF78" s="55">
        <f>Emissions!V58*Assumptions!$C$52</f>
        <v>186.43640106966004</v>
      </c>
      <c r="AG78" s="55">
        <f>Emissions!W58*Assumptions!$C$52</f>
        <v>186.43640106966004</v>
      </c>
      <c r="AH78" s="55">
        <f>Emissions!X58*Assumptions!$C$52</f>
        <v>186.43640106966004</v>
      </c>
      <c r="AI78" s="55">
        <f>Emissions!Y58*Assumptions!$C$52</f>
        <v>186.43640106966004</v>
      </c>
      <c r="AJ78" s="55">
        <f>Emissions!Z58*Assumptions!$C$52</f>
        <v>186.43640106966004</v>
      </c>
      <c r="AK78" s="55">
        <f>Emissions!AA58*Assumptions!$C$52</f>
        <v>186.43640106966004</v>
      </c>
      <c r="AL78" s="55">
        <f>Emissions!AB58*Assumptions!$C$52</f>
        <v>186.43640106966004</v>
      </c>
      <c r="AM78" s="55">
        <f>Emissions!AC58*Assumptions!$C$52</f>
        <v>186.43640106966004</v>
      </c>
      <c r="AN78" s="55">
        <f>Emissions!AD58*Assumptions!$C$52</f>
        <v>186.43640106966004</v>
      </c>
      <c r="AO78" s="55">
        <f>Emissions!AE58*Assumptions!$C$52</f>
        <v>186.43640106966004</v>
      </c>
    </row>
    <row r="79" spans="1:41" s="46" customFormat="1">
      <c r="A79" s="111" t="s">
        <v>52</v>
      </c>
      <c r="C79" s="47">
        <f>ROUND(G79+NPV(Assumptions!$B$4,H79:AO79),-3)</f>
        <v>709000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55">
        <f>Emissions!B59*Assumptions!$C$53</f>
        <v>65864.50983242123</v>
      </c>
      <c r="M79" s="55">
        <f>Emissions!C59*Assumptions!$C$53</f>
        <v>66793.913838229942</v>
      </c>
      <c r="N79" s="55">
        <f>Emissions!D59*Assumptions!$C$53</f>
        <v>67736.432521551789</v>
      </c>
      <c r="O79" s="55">
        <f>Emissions!E59*Assumptions!$C$53</f>
        <v>68692.250941591628</v>
      </c>
      <c r="P79" s="55">
        <f>Emissions!F59*Assumptions!$C$53</f>
        <v>69661.55676889632</v>
      </c>
      <c r="Q79" s="55">
        <f>Emissions!G59*Assumptions!$C$53</f>
        <v>70644.540322203116</v>
      </c>
      <c r="R79" s="55">
        <f>Emissions!H59*Assumptions!$C$53</f>
        <v>71641.394605807771</v>
      </c>
      <c r="S79" s="55">
        <f>Emissions!I59*Assumptions!$C$53</f>
        <v>72652.315347460142</v>
      </c>
      <c r="T79" s="55">
        <f>Emissions!J59*Assumptions!$C$53</f>
        <v>73677.501036794289</v>
      </c>
      <c r="U79" s="55">
        <f>Emissions!K59*Assumptions!$C$53</f>
        <v>74717.152964301175</v>
      </c>
      <c r="V79" s="55">
        <f>Emissions!L59*Assumptions!$C$53</f>
        <v>75771.475260850959</v>
      </c>
      <c r="W79" s="55">
        <f>Emissions!M59*Assumptions!$C$53</f>
        <v>76840.674937773263</v>
      </c>
      <c r="X79" s="55">
        <f>Emissions!N59*Assumptions!$C$53</f>
        <v>77924.961927502882</v>
      </c>
      <c r="Y79" s="55">
        <f>Emissions!O59*Assumptions!$C$53</f>
        <v>79024.549124798941</v>
      </c>
      <c r="Z79" s="55">
        <f>Emissions!P59*Assumptions!$C$53</f>
        <v>80139.652428546047</v>
      </c>
      <c r="AA79" s="55">
        <f>Emissions!Q59*Assumptions!$C$53</f>
        <v>81270.490784144742</v>
      </c>
      <c r="AB79" s="55">
        <f>Emissions!R59*Assumptions!$C$53</f>
        <v>82417.286226500626</v>
      </c>
      <c r="AC79" s="55">
        <f>Emissions!S59*Assumptions!$C$53</f>
        <v>83580.263923619801</v>
      </c>
      <c r="AD79" s="55">
        <f>Emissions!T59*Assumptions!$C$53</f>
        <v>84759.652220819946</v>
      </c>
      <c r="AE79" s="55">
        <f>Emissions!U59*Assumptions!$C$53</f>
        <v>84759.652220819946</v>
      </c>
      <c r="AF79" s="55">
        <f>Emissions!V59*Assumptions!$C$53</f>
        <v>84759.652220819946</v>
      </c>
      <c r="AG79" s="55">
        <f>Emissions!W59*Assumptions!$C$53</f>
        <v>84759.652220819946</v>
      </c>
      <c r="AH79" s="55">
        <f>Emissions!X59*Assumptions!$C$53</f>
        <v>84759.652220819946</v>
      </c>
      <c r="AI79" s="55">
        <f>Emissions!Y59*Assumptions!$C$53</f>
        <v>84759.652220819946</v>
      </c>
      <c r="AJ79" s="55">
        <f>Emissions!Z59*Assumptions!$C$53</f>
        <v>84759.652220819946</v>
      </c>
      <c r="AK79" s="55">
        <f>Emissions!AA59*Assumptions!$C$53</f>
        <v>84759.652220819946</v>
      </c>
      <c r="AL79" s="55">
        <f>Emissions!AB59*Assumptions!$C$53</f>
        <v>84759.652220819946</v>
      </c>
      <c r="AM79" s="55">
        <f>Emissions!AC59*Assumptions!$C$53</f>
        <v>84759.652220819946</v>
      </c>
      <c r="AN79" s="55">
        <f>Emissions!AD59*Assumptions!$C$53</f>
        <v>84759.652220819946</v>
      </c>
      <c r="AO79" s="55">
        <f>Emissions!AE59*Assumptions!$C$53</f>
        <v>84759.652220819946</v>
      </c>
    </row>
    <row r="80" spans="1:41" s="46" customFormat="1">
      <c r="A80" s="111" t="s">
        <v>53</v>
      </c>
      <c r="C80" s="47">
        <f>ROUND(G80+NPV(Assumptions!$B$4,H80:AO80),-3)</f>
        <v>141000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55">
        <f>Emissions!B60*Assumptions!$C$54</f>
        <v>14693.998202321667</v>
      </c>
      <c r="M80" s="55">
        <f>Emissions!C60*Assumptions!$C$54</f>
        <v>14714.05727044281</v>
      </c>
      <c r="N80" s="55">
        <f>Emissions!D60*Assumptions!$C$54</f>
        <v>14734.143721595337</v>
      </c>
      <c r="O80" s="55">
        <f>Emissions!E60*Assumptions!$C$54</f>
        <v>14754.257593160366</v>
      </c>
      <c r="P80" s="55">
        <f>Emissions!F60*Assumptions!$C$54</f>
        <v>14774.398922570041</v>
      </c>
      <c r="Q80" s="55">
        <f>Emissions!G60*Assumptions!$C$54</f>
        <v>14794.567747307618</v>
      </c>
      <c r="R80" s="55">
        <f>Emissions!H60*Assumptions!$C$54</f>
        <v>14814.764104907499</v>
      </c>
      <c r="S80" s="55">
        <f>Emissions!I60*Assumptions!$C$54</f>
        <v>14834.988032955353</v>
      </c>
      <c r="T80" s="55">
        <f>Emissions!J60*Assumptions!$C$54</f>
        <v>14855.239569088139</v>
      </c>
      <c r="U80" s="55">
        <f>Emissions!K60*Assumptions!$C$54</f>
        <v>14875.518750994204</v>
      </c>
      <c r="V80" s="55">
        <f>Emissions!L60*Assumptions!$C$54</f>
        <v>14895.825616413338</v>
      </c>
      <c r="W80" s="55">
        <f>Emissions!M60*Assumptions!$C$54</f>
        <v>14916.16020313686</v>
      </c>
      <c r="X80" s="55">
        <f>Emissions!N60*Assumptions!$C$54</f>
        <v>14936.522549007663</v>
      </c>
      <c r="Y80" s="55">
        <f>Emissions!O60*Assumptions!$C$54</f>
        <v>14956.91269192031</v>
      </c>
      <c r="Z80" s="55">
        <f>Emissions!P60*Assumptions!$C$54</f>
        <v>14977.3306698211</v>
      </c>
      <c r="AA80" s="55">
        <f>Emissions!Q60*Assumptions!$C$54</f>
        <v>14997.776520708125</v>
      </c>
      <c r="AB80" s="55">
        <f>Emissions!R60*Assumptions!$C$54</f>
        <v>15018.250282631347</v>
      </c>
      <c r="AC80" s="55">
        <f>Emissions!S60*Assumptions!$C$54</f>
        <v>15038.751993692676</v>
      </c>
      <c r="AD80" s="55">
        <f>Emissions!T60*Assumptions!$C$54</f>
        <v>15059.281692046077</v>
      </c>
      <c r="AE80" s="55">
        <f>Emissions!U60*Assumptions!$C$54</f>
        <v>15059.281692046077</v>
      </c>
      <c r="AF80" s="55">
        <f>Emissions!V60*Assumptions!$C$54</f>
        <v>15059.281692046077</v>
      </c>
      <c r="AG80" s="55">
        <f>Emissions!W60*Assumptions!$C$54</f>
        <v>15059.281692046077</v>
      </c>
      <c r="AH80" s="55">
        <f>Emissions!X60*Assumptions!$C$54</f>
        <v>15059.281692046077</v>
      </c>
      <c r="AI80" s="55">
        <f>Emissions!Y60*Assumptions!$C$54</f>
        <v>15059.281692046077</v>
      </c>
      <c r="AJ80" s="55">
        <f>Emissions!Z60*Assumptions!$C$54</f>
        <v>15059.281692046077</v>
      </c>
      <c r="AK80" s="55">
        <f>Emissions!AA60*Assumptions!$C$54</f>
        <v>15059.281692046077</v>
      </c>
      <c r="AL80" s="55">
        <f>Emissions!AB60*Assumptions!$C$54</f>
        <v>15059.281692046077</v>
      </c>
      <c r="AM80" s="55">
        <f>Emissions!AC60*Assumptions!$C$54</f>
        <v>15059.281692046077</v>
      </c>
      <c r="AN80" s="55">
        <f>Emissions!AD60*Assumptions!$C$54</f>
        <v>15059.281692046077</v>
      </c>
      <c r="AO80" s="55">
        <f>Emissions!AE60*Assumptions!$C$54</f>
        <v>15059.281692046077</v>
      </c>
    </row>
    <row r="81" spans="1:41" s="46" customFormat="1">
      <c r="A81" s="111" t="s">
        <v>54</v>
      </c>
      <c r="C81" s="47">
        <f>ROUND(G81+NPV(Assumptions!$B$4,H81:AO81),-3)</f>
        <v>38000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55">
        <f>Emissions!B61*D$69</f>
        <v>0</v>
      </c>
      <c r="M81" s="55">
        <f>Emissions!C61*E$69</f>
        <v>3601.6955078529663</v>
      </c>
      <c r="N81" s="55">
        <f>Emissions!D61*F$69</f>
        <v>3606.6122537616625</v>
      </c>
      <c r="O81" s="55">
        <f>Emissions!E61*G$69</f>
        <v>3611.5357116176287</v>
      </c>
      <c r="P81" s="55">
        <f>Emissions!F61*H$69</f>
        <v>3616.4658905834772</v>
      </c>
      <c r="Q81" s="55">
        <f>Emissions!G61*I$69</f>
        <v>3621.402799834329</v>
      </c>
      <c r="R81" s="55">
        <f>Emissions!H61*J$69</f>
        <v>3626.3464485578265</v>
      </c>
      <c r="S81" s="55">
        <f>Emissions!I61*K$69</f>
        <v>3631.2968459541607</v>
      </c>
      <c r="T81" s="55">
        <f>Emissions!J61*L$69</f>
        <v>3636.2540012360764</v>
      </c>
      <c r="U81" s="55">
        <f>Emissions!K61*M$69</f>
        <v>3641.2179236288994</v>
      </c>
      <c r="V81" s="55">
        <f>Emissions!L61*N$69</f>
        <v>3646.1886223705442</v>
      </c>
      <c r="W81" s="55">
        <f>Emissions!M61*O$69</f>
        <v>3651.166106711541</v>
      </c>
      <c r="X81" s="55">
        <f>Emissions!N61*P$69</f>
        <v>3656.1503859150453</v>
      </c>
      <c r="Y81" s="55">
        <f>Emissions!O61*Q$69</f>
        <v>3661.1414692568574</v>
      </c>
      <c r="Z81" s="55">
        <f>Emissions!P61*R$69</f>
        <v>3666.139366025443</v>
      </c>
      <c r="AA81" s="55">
        <f>Emissions!Q61*S$69</f>
        <v>3671.1440855219453</v>
      </c>
      <c r="AB81" s="55">
        <f>Emissions!R61*T$69</f>
        <v>3676.1556370602061</v>
      </c>
      <c r="AC81" s="55">
        <f>Emissions!S61*U$69</f>
        <v>3681.1740299667795</v>
      </c>
      <c r="AD81" s="55">
        <f>Emissions!T61*V$69</f>
        <v>3686.1992735809658</v>
      </c>
      <c r="AE81" s="55">
        <f>Emissions!U61*W$69</f>
        <v>7372.3985471619317</v>
      </c>
      <c r="AF81" s="55">
        <f>Emissions!V61*X$69</f>
        <v>7372.3985471619317</v>
      </c>
      <c r="AG81" s="55">
        <f>Emissions!W61*Y$69</f>
        <v>7372.3985471619317</v>
      </c>
      <c r="AH81" s="55">
        <f>Emissions!X61*Z$69</f>
        <v>7372.3985471619317</v>
      </c>
      <c r="AI81" s="55">
        <f>Emissions!Y61*AA$69</f>
        <v>7372.3985471619317</v>
      </c>
      <c r="AJ81" s="55">
        <f>Emissions!Z61*AB$69</f>
        <v>7372.3985471619317</v>
      </c>
      <c r="AK81" s="55">
        <f>Emissions!AA61*AC$69</f>
        <v>7372.3985471619317</v>
      </c>
      <c r="AL81" s="55">
        <f>Emissions!AB61*AD$69</f>
        <v>7372.3985471619317</v>
      </c>
      <c r="AM81" s="55">
        <f>Emissions!AC61*AE$69</f>
        <v>7372.3985471619317</v>
      </c>
      <c r="AN81" s="55">
        <f>Emissions!AD61*AF$69</f>
        <v>7372.3985471619317</v>
      </c>
      <c r="AO81" s="55">
        <f>Emissions!AE61*AG$69</f>
        <v>7372.3985471619317</v>
      </c>
    </row>
    <row r="82" spans="1:41" s="46" customFormat="1">
      <c r="A82" s="111" t="s">
        <v>55</v>
      </c>
      <c r="C82" s="47">
        <f>ROUND(G82+NPV(Assumptions!$B$4,H82:AO82),-3)</f>
        <v>2000</v>
      </c>
      <c r="E82" s="48">
        <v>0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55">
        <f>Emissions!B62*Assumptions!$C$55</f>
        <v>223.23670884207786</v>
      </c>
      <c r="M82" s="55">
        <f>Emissions!C62*Assumptions!$C$55</f>
        <v>225.47372628054418</v>
      </c>
      <c r="N82" s="55">
        <f>Emissions!D62*Assumptions!$C$55</f>
        <v>227.73316049376928</v>
      </c>
      <c r="O82" s="55">
        <f>Emissions!E62*Assumptions!$C$55</f>
        <v>230.01523611647525</v>
      </c>
      <c r="P82" s="55">
        <f>Emissions!F62*Assumptions!$C$55</f>
        <v>232.3201800344109</v>
      </c>
      <c r="Q82" s="55">
        <f>Emissions!G62*Assumptions!$C$55</f>
        <v>234.64822140690885</v>
      </c>
      <c r="R82" s="55">
        <f>Emissions!H62*Assumptions!$C$55</f>
        <v>236.99959168966862</v>
      </c>
      <c r="S82" s="55">
        <f>Emissions!I62*Assumptions!$C$55</f>
        <v>239.37452465776857</v>
      </c>
      <c r="T82" s="55">
        <f>Emissions!J62*Assumptions!$C$55</f>
        <v>241.7732564289077</v>
      </c>
      <c r="U82" s="55">
        <f>Emissions!K62*Assumptions!$C$55</f>
        <v>244.1960254868805</v>
      </c>
      <c r="V82" s="55">
        <f>Emissions!L62*Assumptions!$C$55</f>
        <v>246.64307270528747</v>
      </c>
      <c r="W82" s="55">
        <f>Emissions!M62*Assumptions!$C$55</f>
        <v>249.1146413714828</v>
      </c>
      <c r="X82" s="55">
        <f>Emissions!N62*Assumptions!$C$55</f>
        <v>251.6109772107624</v>
      </c>
      <c r="Y82" s="55">
        <f>Emissions!O62*Assumptions!$C$55</f>
        <v>254.13232841079372</v>
      </c>
      <c r="Z82" s="55">
        <f>Emissions!P62*Assumptions!$C$55</f>
        <v>256.67894564629137</v>
      </c>
      <c r="AA82" s="55">
        <f>Emissions!Q62*Assumptions!$C$55</f>
        <v>259.2510821039387</v>
      </c>
      <c r="AB82" s="55">
        <f>Emissions!R62*Assumptions!$C$55</f>
        <v>261.84899350756029</v>
      </c>
      <c r="AC82" s="55">
        <f>Emissions!S62*Assumptions!$C$55</f>
        <v>264.47293814354595</v>
      </c>
      <c r="AD82" s="55">
        <f>Emissions!T62*Assumptions!$C$55</f>
        <v>267.12317688653076</v>
      </c>
      <c r="AE82" s="55">
        <f>Emissions!U62*Assumptions!$C$55</f>
        <v>267.12317688653076</v>
      </c>
      <c r="AF82" s="55">
        <f>Emissions!V62*Assumptions!$C$55</f>
        <v>267.12317688653076</v>
      </c>
      <c r="AG82" s="55">
        <f>Emissions!W62*Assumptions!$C$55</f>
        <v>267.12317688653076</v>
      </c>
      <c r="AH82" s="55">
        <f>Emissions!X62*Assumptions!$C$55</f>
        <v>267.12317688653076</v>
      </c>
      <c r="AI82" s="55">
        <f>Emissions!Y62*Assumptions!$C$55</f>
        <v>267.12317688653076</v>
      </c>
      <c r="AJ82" s="55">
        <f>Emissions!Z62*Assumptions!$C$55</f>
        <v>267.12317688653076</v>
      </c>
      <c r="AK82" s="55">
        <f>Emissions!AA62*Assumptions!$C$55</f>
        <v>267.12317688653076</v>
      </c>
      <c r="AL82" s="55">
        <f>Emissions!AB62*Assumptions!$C$55</f>
        <v>267.12317688653076</v>
      </c>
      <c r="AM82" s="55">
        <f>Emissions!AC62*Assumptions!$C$55</f>
        <v>267.12317688653076</v>
      </c>
      <c r="AN82" s="55">
        <f>Emissions!AD62*Assumptions!$C$55</f>
        <v>267.12317688653076</v>
      </c>
      <c r="AO82" s="55">
        <f>Emissions!AE62*Assumptions!$C$55</f>
        <v>267.12317688653076</v>
      </c>
    </row>
    <row r="83" spans="1:41" s="46" customFormat="1">
      <c r="A83" s="110" t="s">
        <v>57</v>
      </c>
      <c r="C83" s="47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</row>
    <row r="84" spans="1:41" s="46" customFormat="1">
      <c r="A84" s="73" t="s">
        <v>50</v>
      </c>
      <c r="C84" s="47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</row>
    <row r="85" spans="1:41" s="46" customFormat="1">
      <c r="A85" s="111" t="s">
        <v>51</v>
      </c>
      <c r="C85" s="47">
        <f>ROUND(G85+NPV(Assumptions!$B$4,H85:AO85),-3)</f>
        <v>24000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55">
        <f>Emissions!B65*Assumptions!$C$52</f>
        <v>3297.5725069791106</v>
      </c>
      <c r="M85" s="55">
        <f>Emissions!C65*Assumptions!$C$52</f>
        <v>3189.3842471844346</v>
      </c>
      <c r="N85" s="55">
        <f>Emissions!D65*Assumptions!$C$52</f>
        <v>3084.7454770621234</v>
      </c>
      <c r="O85" s="55">
        <f>Emissions!E65*Assumptions!$C$52</f>
        <v>2983.539743339355</v>
      </c>
      <c r="P85" s="55">
        <f>Emissions!F65*Assumptions!$C$52</f>
        <v>2885.6544133952862</v>
      </c>
      <c r="Q85" s="55">
        <f>Emissions!G65*Assumptions!$C$52</f>
        <v>2790.9805499113672</v>
      </c>
      <c r="R85" s="55">
        <f>Emissions!H65*Assumptions!$C$52</f>
        <v>2699.412789634182</v>
      </c>
      <c r="S85" s="55">
        <f>Emissions!I65*Assumptions!$C$52</f>
        <v>2610.8492261158908</v>
      </c>
      <c r="T85" s="55">
        <f>Emissions!J65*Assumptions!$C$52</f>
        <v>2525.1912963017812</v>
      </c>
      <c r="U85" s="55">
        <f>Emissions!K65*Assumptions!$C$52</f>
        <v>2442.3436708387012</v>
      </c>
      <c r="V85" s="55">
        <f>Emissions!L65*Assumptions!$C$52</f>
        <v>2362.2141479823135</v>
      </c>
      <c r="W85" s="55">
        <f>Emissions!M65*Assumptions!$C$52</f>
        <v>2284.7135509850718</v>
      </c>
      <c r="X85" s="55">
        <f>Emissions!N65*Assumptions!$C$52</f>
        <v>2209.7556288507594</v>
      </c>
      <c r="Y85" s="55">
        <f>Emissions!O65*Assumptions!$C$52</f>
        <v>2137.2569603451002</v>
      </c>
      <c r="Z85" s="55">
        <f>Emissions!P65*Assumptions!$C$52</f>
        <v>2067.1368611556445</v>
      </c>
      <c r="AA85" s="55">
        <f>Emissions!Q65*Assumptions!$C$52</f>
        <v>1999.3172940975921</v>
      </c>
      <c r="AB85" s="55">
        <f>Emissions!R65*Assumptions!$C$52</f>
        <v>1933.7227822656223</v>
      </c>
      <c r="AC85" s="55">
        <f>Emissions!S65*Assumptions!$C$52</f>
        <v>1870.2803250350787</v>
      </c>
      <c r="AD85" s="55">
        <f>Emissions!T65*Assumptions!$C$52</f>
        <v>1808.9193168190259</v>
      </c>
      <c r="AE85" s="55">
        <f>Emissions!U65*Assumptions!$C$52</f>
        <v>1930.5776815947861</v>
      </c>
      <c r="AF85" s="55">
        <f>Emissions!V65*Assumptions!$C$52</f>
        <v>1930.5776815947861</v>
      </c>
      <c r="AG85" s="55">
        <f>Emissions!W65*Assumptions!$C$52</f>
        <v>1930.5776815947861</v>
      </c>
      <c r="AH85" s="55">
        <f>Emissions!X65*Assumptions!$C$52</f>
        <v>1930.5776815947861</v>
      </c>
      <c r="AI85" s="55">
        <f>Emissions!Y65*Assumptions!$C$52</f>
        <v>1930.5776815947861</v>
      </c>
      <c r="AJ85" s="55">
        <f>Emissions!Z65*Assumptions!$C$52</f>
        <v>1930.5776815947861</v>
      </c>
      <c r="AK85" s="55">
        <f>Emissions!AA65*Assumptions!$C$52</f>
        <v>1930.5776815947861</v>
      </c>
      <c r="AL85" s="55">
        <f>Emissions!AB65*Assumptions!$C$52</f>
        <v>1930.5776815947861</v>
      </c>
      <c r="AM85" s="55">
        <f>Emissions!AC65*Assumptions!$C$52</f>
        <v>1930.5776815947861</v>
      </c>
      <c r="AN85" s="55">
        <f>Emissions!AD65*Assumptions!$C$52</f>
        <v>1930.5776815947861</v>
      </c>
      <c r="AO85" s="55">
        <f>Emissions!AE65*Assumptions!$C$52</f>
        <v>1930.5776815947861</v>
      </c>
    </row>
    <row r="86" spans="1:41" s="46" customFormat="1">
      <c r="A86" s="111" t="s">
        <v>52</v>
      </c>
      <c r="C86" s="47">
        <f>ROUND(G86+NPV(Assumptions!$B$4,H86:AO86),-3)</f>
        <v>231000</v>
      </c>
      <c r="E86" s="48">
        <v>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55">
        <f>Emissions!B66*Assumptions!$C$53</f>
        <v>16192.991777756582</v>
      </c>
      <c r="M86" s="55">
        <f>Emissions!C66*Assumptions!$C$53</f>
        <v>16358.285763773882</v>
      </c>
      <c r="N86" s="55">
        <f>Emissions!D66*Assumptions!$C$53</f>
        <v>16525.26702921357</v>
      </c>
      <c r="O86" s="55">
        <f>Emissions!E66*Assumptions!$C$53</f>
        <v>16693.952797399481</v>
      </c>
      <c r="P86" s="55">
        <f>Emissions!F66*Assumptions!$C$53</f>
        <v>16864.360467466806</v>
      </c>
      <c r="Q86" s="55">
        <f>Emissions!G66*Assumptions!$C$53</f>
        <v>17036.50761615673</v>
      </c>
      <c r="R86" s="55">
        <f>Emissions!H66*Assumptions!$C$53</f>
        <v>17210.411999629392</v>
      </c>
      <c r="S86" s="55">
        <f>Emissions!I66*Assumptions!$C$53</f>
        <v>17386.091555295345</v>
      </c>
      <c r="T86" s="55">
        <f>Emissions!J66*Assumptions!$C$53</f>
        <v>17563.564403665721</v>
      </c>
      <c r="U86" s="55">
        <f>Emissions!K66*Assumptions!$C$53</f>
        <v>17742.848850221257</v>
      </c>
      <c r="V86" s="55">
        <f>Emissions!L66*Assumptions!$C$53</f>
        <v>17923.963387300453</v>
      </c>
      <c r="W86" s="55">
        <f>Emissions!M66*Assumptions!$C$53</f>
        <v>18106.926696006929</v>
      </c>
      <c r="X86" s="55">
        <f>Emissions!N66*Assumptions!$C$53</f>
        <v>18291.757648136318</v>
      </c>
      <c r="Y86" s="55">
        <f>Emissions!O66*Assumptions!$C$53</f>
        <v>18478.475308122786</v>
      </c>
      <c r="Z86" s="55">
        <f>Emissions!P66*Assumptions!$C$53</f>
        <v>18667.09893500547</v>
      </c>
      <c r="AA86" s="55">
        <f>Emissions!Q66*Assumptions!$C$53</f>
        <v>18857.647984414907</v>
      </c>
      <c r="AB86" s="55">
        <f>Emissions!R66*Assumptions!$C$53</f>
        <v>19050.142110579836</v>
      </c>
      <c r="AC86" s="55">
        <f>Emissions!S66*Assumptions!$C$53</f>
        <v>19244.601168354395</v>
      </c>
      <c r="AD86" s="55">
        <f>Emissions!T66*Assumptions!$C$53</f>
        <v>19441.045215266109</v>
      </c>
      <c r="AE86" s="55">
        <f>Emissions!U66*Assumptions!$C$53</f>
        <v>59212.346746172909</v>
      </c>
      <c r="AF86" s="55">
        <f>Emissions!V66*Assumptions!$C$53</f>
        <v>59212.346746172909</v>
      </c>
      <c r="AG86" s="55">
        <f>Emissions!W66*Assumptions!$C$53</f>
        <v>59212.346746172909</v>
      </c>
      <c r="AH86" s="55">
        <f>Emissions!X66*Assumptions!$C$53</f>
        <v>59212.346746172909</v>
      </c>
      <c r="AI86" s="55">
        <f>Emissions!Y66*Assumptions!$C$53</f>
        <v>59212.346746172909</v>
      </c>
      <c r="AJ86" s="55">
        <f>Emissions!Z66*Assumptions!$C$53</f>
        <v>59212.346746172909</v>
      </c>
      <c r="AK86" s="55">
        <f>Emissions!AA66*Assumptions!$C$53</f>
        <v>59212.346746172909</v>
      </c>
      <c r="AL86" s="55">
        <f>Emissions!AB66*Assumptions!$C$53</f>
        <v>59212.346746172909</v>
      </c>
      <c r="AM86" s="55">
        <f>Emissions!AC66*Assumptions!$C$53</f>
        <v>59212.346746172909</v>
      </c>
      <c r="AN86" s="55">
        <f>Emissions!AD66*Assumptions!$C$53</f>
        <v>59212.346746172909</v>
      </c>
      <c r="AO86" s="55">
        <f>Emissions!AE66*Assumptions!$C$53</f>
        <v>59212.346746172909</v>
      </c>
    </row>
    <row r="87" spans="1:41" s="46" customFormat="1">
      <c r="A87" s="111" t="s">
        <v>53</v>
      </c>
      <c r="C87" s="47">
        <f>ROUND(G87+NPV(Assumptions!$B$4,H87:AO87),-3)</f>
        <v>1221000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55">
        <f>Emissions!B67*Assumptions!$C$54</f>
        <v>75874.424859729494</v>
      </c>
      <c r="M87" s="55">
        <f>Emissions!C67*Assumptions!$C$54</f>
        <v>78115.950176208498</v>
      </c>
      <c r="N87" s="55">
        <f>Emissions!D67*Assumptions!$C$54</f>
        <v>80423.695905609289</v>
      </c>
      <c r="O87" s="55">
        <f>Emissions!E67*Assumptions!$C$54</f>
        <v>82799.618368949261</v>
      </c>
      <c r="P87" s="55">
        <f>Emissions!F67*Assumptions!$C$54</f>
        <v>85245.731681991383</v>
      </c>
      <c r="Q87" s="55">
        <f>Emissions!G67*Assumptions!$C$54</f>
        <v>87764.109462649547</v>
      </c>
      <c r="R87" s="55">
        <f>Emissions!H67*Assumptions!$C$54</f>
        <v>90356.886588834721</v>
      </c>
      <c r="S87" s="55">
        <f>Emissions!I67*Assumptions!$C$54</f>
        <v>93026.261008232672</v>
      </c>
      <c r="T87" s="55">
        <f>Emissions!J67*Assumptions!$C$54</f>
        <v>95774.495601546994</v>
      </c>
      <c r="U87" s="55">
        <f>Emissions!K67*Assumptions!$C$54</f>
        <v>98603.920100787145</v>
      </c>
      <c r="V87" s="55">
        <f>Emissions!L67*Assumptions!$C$54</f>
        <v>101516.93306422771</v>
      </c>
      <c r="W87" s="55">
        <f>Emissions!M67*Assumptions!$C$54</f>
        <v>104516.00390971288</v>
      </c>
      <c r="X87" s="55">
        <f>Emissions!N67*Assumptions!$C$54</f>
        <v>107603.67500803024</v>
      </c>
      <c r="Y87" s="55">
        <f>Emissions!O67*Assumptions!$C$54</f>
        <v>110782.56383812791</v>
      </c>
      <c r="Z87" s="55">
        <f>Emissions!P67*Assumptions!$C$54</f>
        <v>114055.36520600242</v>
      </c>
      <c r="AA87" s="55">
        <f>Emissions!Q67*Assumptions!$C$54</f>
        <v>117424.85352913833</v>
      </c>
      <c r="AB87" s="55">
        <f>Emissions!R67*Assumptions!$C$54</f>
        <v>120893.885188436</v>
      </c>
      <c r="AC87" s="55">
        <f>Emissions!S67*Assumptions!$C$54</f>
        <v>124465.40094962119</v>
      </c>
      <c r="AD87" s="55">
        <f>Emissions!T67*Assumptions!$C$54</f>
        <v>128142.42845618947</v>
      </c>
      <c r="AE87" s="55">
        <f>Emissions!U67*Assumptions!$C$54</f>
        <v>302305.0188872565</v>
      </c>
      <c r="AF87" s="55">
        <f>Emissions!V67*Assumptions!$C$54</f>
        <v>302305.0188872565</v>
      </c>
      <c r="AG87" s="55">
        <f>Emissions!W67*Assumptions!$C$54</f>
        <v>302305.0188872565</v>
      </c>
      <c r="AH87" s="55">
        <f>Emissions!X67*Assumptions!$C$54</f>
        <v>302305.0188872565</v>
      </c>
      <c r="AI87" s="55">
        <f>Emissions!Y67*Assumptions!$C$54</f>
        <v>302305.0188872565</v>
      </c>
      <c r="AJ87" s="55">
        <f>Emissions!Z67*Assumptions!$C$54</f>
        <v>302305.0188872565</v>
      </c>
      <c r="AK87" s="55">
        <f>Emissions!AA67*Assumptions!$C$54</f>
        <v>302305.0188872565</v>
      </c>
      <c r="AL87" s="55">
        <f>Emissions!AB67*Assumptions!$C$54</f>
        <v>302305.0188872565</v>
      </c>
      <c r="AM87" s="55">
        <f>Emissions!AC67*Assumptions!$C$54</f>
        <v>302305.0188872565</v>
      </c>
      <c r="AN87" s="55">
        <f>Emissions!AD67*Assumptions!$C$54</f>
        <v>302305.0188872565</v>
      </c>
      <c r="AO87" s="55">
        <f>Emissions!AE67*Assumptions!$C$54</f>
        <v>302305.0188872565</v>
      </c>
    </row>
    <row r="88" spans="1:41" s="46" customFormat="1">
      <c r="A88" s="111" t="s">
        <v>54</v>
      </c>
      <c r="C88" s="47">
        <f>ROUND(G88+NPV(Assumptions!$B$4,H88:AO88),-3)</f>
        <v>384000</v>
      </c>
      <c r="E88" s="48">
        <v>0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55">
        <f>Emissions!B68*D$69</f>
        <v>0</v>
      </c>
      <c r="M88" s="55">
        <f>Emissions!C68*E$69</f>
        <v>18254.922201105834</v>
      </c>
      <c r="N88" s="55">
        <f>Emissions!D68*F$69</f>
        <v>18794.219472087203</v>
      </c>
      <c r="O88" s="55">
        <f>Emissions!E68*G$69</f>
        <v>19349.448969088702</v>
      </c>
      <c r="P88" s="55">
        <f>Emissions!F68*H$69</f>
        <v>19921.081370972657</v>
      </c>
      <c r="Q88" s="55">
        <f>Emissions!G68*I$69</f>
        <v>20509.601261663429</v>
      </c>
      <c r="R88" s="55">
        <f>Emissions!H68*J$69</f>
        <v>21115.507540938677</v>
      </c>
      <c r="S88" s="55">
        <f>Emissions!I68*K$69</f>
        <v>21739.313847356399</v>
      </c>
      <c r="T88" s="55">
        <f>Emissions!J68*L$69</f>
        <v>22381.548993676373</v>
      </c>
      <c r="U88" s="55">
        <f>Emissions!K68*M$69</f>
        <v>23042.757415144977</v>
      </c>
      <c r="V88" s="55">
        <f>Emissions!L68*N$69</f>
        <v>23723.499631023646</v>
      </c>
      <c r="W88" s="55">
        <f>Emissions!M68*O$69</f>
        <v>24424.352719751874</v>
      </c>
      <c r="X88" s="55">
        <f>Emissions!N68*P$69</f>
        <v>25145.910808147924</v>
      </c>
      <c r="Y88" s="55">
        <f>Emissions!O68*Q$69</f>
        <v>25888.785575061676</v>
      </c>
      <c r="Z88" s="55">
        <f>Emissions!P68*R$69</f>
        <v>26653.606769906692</v>
      </c>
      <c r="AA88" s="55">
        <f>Emissions!Q68*S$69</f>
        <v>27441.022746511095</v>
      </c>
      <c r="AB88" s="55">
        <f>Emissions!R68*T$69</f>
        <v>28251.701012739733</v>
      </c>
      <c r="AC88" s="55">
        <f>Emissions!S68*U$69</f>
        <v>29086.328796353573</v>
      </c>
      <c r="AD88" s="55">
        <f>Emissions!T68*V$69</f>
        <v>29945.61362758611</v>
      </c>
      <c r="AE88" s="55">
        <f>Emissions!U68*W$69</f>
        <v>141291.36465324514</v>
      </c>
      <c r="AF88" s="55">
        <f>Emissions!V68*X$69</f>
        <v>141291.36465324514</v>
      </c>
      <c r="AG88" s="55">
        <f>Emissions!W68*Y$69</f>
        <v>141291.36465324514</v>
      </c>
      <c r="AH88" s="55">
        <f>Emissions!X68*Z$69</f>
        <v>141291.36465324514</v>
      </c>
      <c r="AI88" s="55">
        <f>Emissions!Y68*AA$69</f>
        <v>141291.36465324514</v>
      </c>
      <c r="AJ88" s="55">
        <f>Emissions!Z68*AB$69</f>
        <v>141291.36465324514</v>
      </c>
      <c r="AK88" s="55">
        <f>Emissions!AA68*AC$69</f>
        <v>141291.36465324514</v>
      </c>
      <c r="AL88" s="55">
        <f>Emissions!AB68*AD$69</f>
        <v>141291.36465324514</v>
      </c>
      <c r="AM88" s="55">
        <f>Emissions!AC68*AE$69</f>
        <v>141291.36465324514</v>
      </c>
      <c r="AN88" s="55">
        <f>Emissions!AD68*AF$69</f>
        <v>141291.36465324514</v>
      </c>
      <c r="AO88" s="55">
        <f>Emissions!AE68*AG$69</f>
        <v>141291.36465324514</v>
      </c>
    </row>
    <row r="89" spans="1:41" s="46" customFormat="1">
      <c r="A89" s="111" t="s">
        <v>55</v>
      </c>
      <c r="C89" s="47">
        <f>ROUND(G89+NPV(Assumptions!$B$4,H89:AO89),-3)</f>
        <v>129000</v>
      </c>
      <c r="E89" s="48">
        <v>0</v>
      </c>
      <c r="F89" s="48">
        <v>0</v>
      </c>
      <c r="G89" s="48">
        <v>0</v>
      </c>
      <c r="H89" s="48">
        <v>0</v>
      </c>
      <c r="I89" s="48">
        <v>0</v>
      </c>
      <c r="J89" s="48">
        <v>0</v>
      </c>
      <c r="K89" s="48">
        <v>0</v>
      </c>
      <c r="L89" s="55">
        <f>Emissions!B69*Assumptions!$C$55</f>
        <v>14533.667022403934</v>
      </c>
      <c r="M89" s="55">
        <f>Emissions!C69*Assumptions!$C$55</f>
        <v>14412.903926699208</v>
      </c>
      <c r="N89" s="55">
        <f>Emissions!D69*Assumptions!$C$55</f>
        <v>14293.144275291213</v>
      </c>
      <c r="O89" s="55">
        <f>Emissions!E69*Assumptions!$C$55</f>
        <v>14174.379730364073</v>
      </c>
      <c r="P89" s="55">
        <f>Emissions!F69*Assumptions!$C$55</f>
        <v>14056.602023382458</v>
      </c>
      <c r="Q89" s="55">
        <f>Emissions!G69*Assumptions!$C$55</f>
        <v>13939.802954515932</v>
      </c>
      <c r="R89" s="55">
        <f>Emissions!H69*Assumptions!$C$55</f>
        <v>13823.974392068052</v>
      </c>
      <c r="S89" s="55">
        <f>Emissions!I69*Assumptions!$C$55</f>
        <v>13709.108271910247</v>
      </c>
      <c r="T89" s="55">
        <f>Emissions!J69*Assumptions!$C$55</f>
        <v>13595.196596920374</v>
      </c>
      <c r="U89" s="55">
        <f>Emissions!K69*Assumptions!$C$55</f>
        <v>13482.231436425946</v>
      </c>
      <c r="V89" s="55">
        <f>Emissions!L69*Assumptions!$C$55</f>
        <v>13370.204925651999</v>
      </c>
      <c r="W89" s="55">
        <f>Emissions!M69*Assumptions!$C$55</f>
        <v>13259.10926517352</v>
      </c>
      <c r="X89" s="55">
        <f>Emissions!N69*Assumptions!$C$55</f>
        <v>13148.936720372458</v>
      </c>
      <c r="Y89" s="55">
        <f>Emissions!O69*Assumptions!$C$55</f>
        <v>13039.679620899218</v>
      </c>
      <c r="Z89" s="55">
        <f>Emissions!P69*Assumptions!$C$55</f>
        <v>12931.330360138658</v>
      </c>
      <c r="AA89" s="55">
        <f>Emissions!Q69*Assumptions!$C$55</f>
        <v>12823.881394680491</v>
      </c>
      <c r="AB89" s="55">
        <f>Emissions!R69*Assumptions!$C$55</f>
        <v>12717.325243794103</v>
      </c>
      <c r="AC89" s="55">
        <f>Emissions!S69*Assumptions!$C$55</f>
        <v>12611.654488907745</v>
      </c>
      <c r="AD89" s="55">
        <f>Emissions!T69*Assumptions!$C$55</f>
        <v>12506.861773092038</v>
      </c>
      <c r="AE89" s="55">
        <f>Emissions!U69*Assumptions!$C$55</f>
        <v>13390.149156136726</v>
      </c>
      <c r="AF89" s="55">
        <f>Emissions!V69*Assumptions!$C$55</f>
        <v>13390.149156136726</v>
      </c>
      <c r="AG89" s="55">
        <f>Emissions!W69*Assumptions!$C$55</f>
        <v>13390.149156136726</v>
      </c>
      <c r="AH89" s="55">
        <f>Emissions!X69*Assumptions!$C$55</f>
        <v>13390.149156136726</v>
      </c>
      <c r="AI89" s="55">
        <f>Emissions!Y69*Assumptions!$C$55</f>
        <v>13390.149156136726</v>
      </c>
      <c r="AJ89" s="55">
        <f>Emissions!Z69*Assumptions!$C$55</f>
        <v>13390.149156136726</v>
      </c>
      <c r="AK89" s="55">
        <f>Emissions!AA69*Assumptions!$C$55</f>
        <v>13390.149156136726</v>
      </c>
      <c r="AL89" s="55">
        <f>Emissions!AB69*Assumptions!$C$55</f>
        <v>13390.149156136726</v>
      </c>
      <c r="AM89" s="55">
        <f>Emissions!AC69*Assumptions!$C$55</f>
        <v>13390.149156136726</v>
      </c>
      <c r="AN89" s="55">
        <f>Emissions!AD69*Assumptions!$C$55</f>
        <v>13390.149156136726</v>
      </c>
      <c r="AO89" s="55">
        <f>Emissions!AE69*Assumptions!$C$55</f>
        <v>13390.149156136726</v>
      </c>
    </row>
    <row r="90" spans="1:41" s="46" customFormat="1">
      <c r="A90" s="73" t="s">
        <v>56</v>
      </c>
      <c r="C90" s="47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</row>
    <row r="91" spans="1:41" s="46" customFormat="1">
      <c r="A91" s="111" t="s">
        <v>51</v>
      </c>
      <c r="C91" s="47">
        <f>ROUND(G91+NPV(Assumptions!$B$4,H91:AO91),-3)</f>
        <v>1000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55">
        <f>Emissions!B71*Assumptions!$C$52</f>
        <v>71.296654411314748</v>
      </c>
      <c r="M91" s="55">
        <f>Emissions!C71*Assumptions!$C$52</f>
        <v>74.316992220771624</v>
      </c>
      <c r="N91" s="55">
        <f>Emissions!D71*Assumptions!$C$52</f>
        <v>77.465280500815879</v>
      </c>
      <c r="O91" s="55">
        <f>Emissions!E71*Assumptions!$C$52</f>
        <v>80.746939612995277</v>
      </c>
      <c r="P91" s="55">
        <f>Emissions!F71*Assumptions!$C$52</f>
        <v>84.167619541454258</v>
      </c>
      <c r="Q91" s="55">
        <f>Emissions!G71*Assumptions!$C$52</f>
        <v>87.73320962042844</v>
      </c>
      <c r="R91" s="55">
        <f>Emissions!H71*Assumptions!$C$52</f>
        <v>91.449848673824633</v>
      </c>
      <c r="S91" s="55">
        <f>Emissions!I71*Assumptions!$C$52</f>
        <v>95.323935584343516</v>
      </c>
      <c r="T91" s="55">
        <f>Emissions!J71*Assumptions!$C$52</f>
        <v>99.362140310341587</v>
      </c>
      <c r="U91" s="55">
        <f>Emissions!K71*Assumptions!$C$52</f>
        <v>103.57141536940041</v>
      </c>
      <c r="V91" s="55">
        <f>Emissions!L71*Assumptions!$C$52</f>
        <v>107.95900780837354</v>
      </c>
      <c r="W91" s="55">
        <f>Emissions!M71*Assumptions!$C$52</f>
        <v>112.53247168052027</v>
      </c>
      <c r="X91" s="55">
        <f>Emissions!N71*Assumptions!$C$52</f>
        <v>117.29968105120808</v>
      </c>
      <c r="Y91" s="55">
        <f>Emissions!O71*Assumptions!$C$52</f>
        <v>122.26884355457476</v>
      </c>
      <c r="Z91" s="55">
        <f>Emissions!P71*Assumptions!$C$52</f>
        <v>127.4485145244911</v>
      </c>
      <c r="AA91" s="55">
        <f>Emissions!Q71*Assumptions!$C$52</f>
        <v>132.84761172415361</v>
      </c>
      <c r="AB91" s="55">
        <f>Emissions!R71*Assumptions!$C$52</f>
        <v>138.47543069966545</v>
      </c>
      <c r="AC91" s="55">
        <f>Emissions!S71*Assumptions!$C$52</f>
        <v>144.34166078404158</v>
      </c>
      <c r="AD91" s="55">
        <f>Emissions!T71*Assumptions!$C$52</f>
        <v>150.45640177919057</v>
      </c>
      <c r="AE91" s="55">
        <f>Emissions!U71*Assumptions!$C$52</f>
        <v>140.00142898263252</v>
      </c>
      <c r="AF91" s="55">
        <f>Emissions!V71*Assumptions!$C$52</f>
        <v>140.00142898263252</v>
      </c>
      <c r="AG91" s="55">
        <f>Emissions!W71*Assumptions!$C$52</f>
        <v>140.00142898263252</v>
      </c>
      <c r="AH91" s="55">
        <f>Emissions!X71*Assumptions!$C$52</f>
        <v>140.00142898263252</v>
      </c>
      <c r="AI91" s="55">
        <f>Emissions!Y71*Assumptions!$C$52</f>
        <v>140.00142898263252</v>
      </c>
      <c r="AJ91" s="55">
        <f>Emissions!Z71*Assumptions!$C$52</f>
        <v>140.00142898263252</v>
      </c>
      <c r="AK91" s="55">
        <f>Emissions!AA71*Assumptions!$C$52</f>
        <v>140.00142898263252</v>
      </c>
      <c r="AL91" s="55">
        <f>Emissions!AB71*Assumptions!$C$52</f>
        <v>140.00142898263252</v>
      </c>
      <c r="AM91" s="55">
        <f>Emissions!AC71*Assumptions!$C$52</f>
        <v>140.00142898263252</v>
      </c>
      <c r="AN91" s="55">
        <f>Emissions!AD71*Assumptions!$C$52</f>
        <v>140.00142898263252</v>
      </c>
      <c r="AO91" s="55">
        <f>Emissions!AE71*Assumptions!$C$52</f>
        <v>140.00142898263252</v>
      </c>
    </row>
    <row r="92" spans="1:41" s="46" customFormat="1">
      <c r="A92" s="111" t="s">
        <v>52</v>
      </c>
      <c r="C92" s="47">
        <f>ROUND(G92+NPV(Assumptions!$B$4,H92:AO92),-3)</f>
        <v>517000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55">
        <f>Emissions!B72*Assumptions!$C$53</f>
        <v>31088.397665722576</v>
      </c>
      <c r="M92" s="55">
        <f>Emissions!C72*Assumptions!$C$53</f>
        <v>32480.633674766479</v>
      </c>
      <c r="N92" s="55">
        <f>Emissions!D72*Assumptions!$C$53</f>
        <v>33935.218381408762</v>
      </c>
      <c r="O92" s="55">
        <f>Emissions!E72*Assumptions!$C$53</f>
        <v>35454.943955990508</v>
      </c>
      <c r="P92" s="55">
        <f>Emissions!F72*Assumptions!$C$53</f>
        <v>37042.727611003022</v>
      </c>
      <c r="Q92" s="55">
        <f>Emissions!G72*Assumptions!$C$53</f>
        <v>38701.617200867775</v>
      </c>
      <c r="R92" s="55">
        <f>Emissions!H72*Assumptions!$C$53</f>
        <v>40434.797072492031</v>
      </c>
      <c r="S92" s="55">
        <f>Emissions!I72*Assumptions!$C$53</f>
        <v>42245.594177830659</v>
      </c>
      <c r="T92" s="55">
        <f>Emissions!J72*Assumptions!$C$53</f>
        <v>44137.484460187676</v>
      </c>
      <c r="U92" s="55">
        <f>Emissions!K72*Assumptions!$C$53</f>
        <v>46114.099526516497</v>
      </c>
      <c r="V92" s="55">
        <f>Emissions!L72*Assumptions!$C$53</f>
        <v>48179.233618526596</v>
      </c>
      <c r="W92" s="55">
        <f>Emissions!M72*Assumptions!$C$53</f>
        <v>50336.85089597827</v>
      </c>
      <c r="X92" s="55">
        <f>Emissions!N72*Assumptions!$C$53</f>
        <v>52591.093046146219</v>
      </c>
      <c r="Y92" s="55">
        <f>Emissions!O72*Assumptions!$C$53</f>
        <v>54946.287234058749</v>
      </c>
      <c r="Z92" s="55">
        <f>Emissions!P72*Assumptions!$C$53</f>
        <v>57406.954408773599</v>
      </c>
      <c r="AA92" s="55">
        <f>Emissions!Q72*Assumptions!$C$53</f>
        <v>59977.817981635024</v>
      </c>
      <c r="AB92" s="55">
        <f>Emissions!R72*Assumptions!$C$53</f>
        <v>62663.812893170209</v>
      </c>
      <c r="AC92" s="55">
        <f>Emissions!S72*Assumptions!$C$53</f>
        <v>65470.095086030007</v>
      </c>
      <c r="AD92" s="55">
        <f>Emissions!T72*Assumptions!$C$53</f>
        <v>68402.051402157565</v>
      </c>
      <c r="AE92" s="55">
        <f>Emissions!U72*Assumptions!$C$53</f>
        <v>110075.94134402325</v>
      </c>
      <c r="AF92" s="55">
        <f>Emissions!V72*Assumptions!$C$53</f>
        <v>110075.94134402325</v>
      </c>
      <c r="AG92" s="55">
        <f>Emissions!W72*Assumptions!$C$53</f>
        <v>110075.94134402325</v>
      </c>
      <c r="AH92" s="55">
        <f>Emissions!X72*Assumptions!$C$53</f>
        <v>110075.94134402325</v>
      </c>
      <c r="AI92" s="55">
        <f>Emissions!Y72*Assumptions!$C$53</f>
        <v>110075.94134402325</v>
      </c>
      <c r="AJ92" s="55">
        <f>Emissions!Z72*Assumptions!$C$53</f>
        <v>110075.94134402325</v>
      </c>
      <c r="AK92" s="55">
        <f>Emissions!AA72*Assumptions!$C$53</f>
        <v>110075.94134402325</v>
      </c>
      <c r="AL92" s="55">
        <f>Emissions!AB72*Assumptions!$C$53</f>
        <v>110075.94134402325</v>
      </c>
      <c r="AM92" s="55">
        <f>Emissions!AC72*Assumptions!$C$53</f>
        <v>110075.94134402325</v>
      </c>
      <c r="AN92" s="55">
        <f>Emissions!AD72*Assumptions!$C$53</f>
        <v>110075.94134402325</v>
      </c>
      <c r="AO92" s="55">
        <f>Emissions!AE72*Assumptions!$C$53</f>
        <v>110075.94134402325</v>
      </c>
    </row>
    <row r="93" spans="1:41" s="46" customFormat="1">
      <c r="A93" s="111" t="s">
        <v>53</v>
      </c>
      <c r="C93" s="47">
        <f>ROUND(G93+NPV(Assumptions!$B$4,H93:AO93),-3)</f>
        <v>116000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55">
        <f>Emissions!B73*Assumptions!$C$54</f>
        <v>6935.6450169515492</v>
      </c>
      <c r="M93" s="55">
        <f>Emissions!C73*Assumptions!$C$54</f>
        <v>7155.1714311618234</v>
      </c>
      <c r="N93" s="55">
        <f>Emissions!D73*Assumptions!$C$54</f>
        <v>7381.6462757514255</v>
      </c>
      <c r="O93" s="55">
        <f>Emissions!E73*Assumptions!$C$54</f>
        <v>7615.289481815711</v>
      </c>
      <c r="P93" s="55">
        <f>Emissions!F73*Assumptions!$C$54</f>
        <v>7856.3279416893429</v>
      </c>
      <c r="Q93" s="55">
        <f>Emissions!G73*Assumptions!$C$54</f>
        <v>8104.9957292828185</v>
      </c>
      <c r="R93" s="55">
        <f>Emissions!H73*Assumptions!$C$54</f>
        <v>8361.534327393063</v>
      </c>
      <c r="S93" s="55">
        <f>Emissions!I73*Assumptions!$C$54</f>
        <v>8626.1928622088362</v>
      </c>
      <c r="T93" s="55">
        <f>Emissions!J73*Assumptions!$C$54</f>
        <v>8899.228345238691</v>
      </c>
      <c r="U93" s="55">
        <f>Emissions!K73*Assumptions!$C$54</f>
        <v>9180.9059228964015</v>
      </c>
      <c r="V93" s="55">
        <f>Emissions!L73*Assumptions!$C$54</f>
        <v>9471.4991339862609</v>
      </c>
      <c r="W93" s="55">
        <f>Emissions!M73*Assumptions!$C$54</f>
        <v>9771.2901753382612</v>
      </c>
      <c r="X93" s="55">
        <f>Emissions!N73*Assumptions!$C$54</f>
        <v>10080.570175851164</v>
      </c>
      <c r="Y93" s="55">
        <f>Emissions!O73*Assumptions!$C$54</f>
        <v>10399.639479209531</v>
      </c>
      <c r="Z93" s="55">
        <f>Emissions!P73*Assumptions!$C$54</f>
        <v>10728.807935549285</v>
      </c>
      <c r="AA93" s="55">
        <f>Emissions!Q73*Assumptions!$C$54</f>
        <v>11068.395202355092</v>
      </c>
      <c r="AB93" s="55">
        <f>Emissions!R73*Assumptions!$C$54</f>
        <v>11418.73105488164</v>
      </c>
      <c r="AC93" s="55">
        <f>Emissions!S73*Assumptions!$C$54</f>
        <v>11780.155706400419</v>
      </c>
      <c r="AD93" s="55">
        <f>Emissions!T73*Assumptions!$C$54</f>
        <v>12153.020138582879</v>
      </c>
      <c r="AE93" s="55">
        <f>Emissions!U73*Assumptions!$C$54</f>
        <v>29463.44459801921</v>
      </c>
      <c r="AF93" s="55">
        <f>Emissions!V73*Assumptions!$C$54</f>
        <v>29463.44459801921</v>
      </c>
      <c r="AG93" s="55">
        <f>Emissions!W73*Assumptions!$C$54</f>
        <v>29463.44459801921</v>
      </c>
      <c r="AH93" s="55">
        <f>Emissions!X73*Assumptions!$C$54</f>
        <v>29463.44459801921</v>
      </c>
      <c r="AI93" s="55">
        <f>Emissions!Y73*Assumptions!$C$54</f>
        <v>29463.44459801921</v>
      </c>
      <c r="AJ93" s="55">
        <f>Emissions!Z73*Assumptions!$C$54</f>
        <v>29463.44459801921</v>
      </c>
      <c r="AK93" s="55">
        <f>Emissions!AA73*Assumptions!$C$54</f>
        <v>29463.44459801921</v>
      </c>
      <c r="AL93" s="55">
        <f>Emissions!AB73*Assumptions!$C$54</f>
        <v>29463.44459801921</v>
      </c>
      <c r="AM93" s="55">
        <f>Emissions!AC73*Assumptions!$C$54</f>
        <v>29463.44459801921</v>
      </c>
      <c r="AN93" s="55">
        <f>Emissions!AD73*Assumptions!$C$54</f>
        <v>29463.44459801921</v>
      </c>
      <c r="AO93" s="55">
        <f>Emissions!AE73*Assumptions!$C$54</f>
        <v>29463.44459801921</v>
      </c>
    </row>
    <row r="94" spans="1:41" s="46" customFormat="1">
      <c r="A94" s="111" t="s">
        <v>54</v>
      </c>
      <c r="C94" s="47">
        <f>ROUND(G94+NPV(Assumptions!$B$4,H94:AO94),-3)</f>
        <v>38000</v>
      </c>
      <c r="E94" s="48">
        <v>0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  <c r="K94" s="48">
        <v>0</v>
      </c>
      <c r="L94" s="55">
        <f>Emissions!B74*D$69</f>
        <v>0</v>
      </c>
      <c r="M94" s="55">
        <f>Emissions!C74*E$69</f>
        <v>1751.4373043321627</v>
      </c>
      <c r="N94" s="55">
        <f>Emissions!D74*F$69</f>
        <v>1806.8736408508889</v>
      </c>
      <c r="O94" s="55">
        <f>Emissions!E74*G$69</f>
        <v>1864.0646433225531</v>
      </c>
      <c r="P94" s="55">
        <f>Emissions!F74*H$69</f>
        <v>1923.0658502765707</v>
      </c>
      <c r="Q94" s="55">
        <f>Emissions!G74*I$69</f>
        <v>1983.9345581429093</v>
      </c>
      <c r="R94" s="55">
        <f>Emissions!H74*J$69</f>
        <v>2046.7298768930018</v>
      </c>
      <c r="S94" s="55">
        <f>Emissions!I74*K$69</f>
        <v>2111.5127874417958</v>
      </c>
      <c r="T94" s="55">
        <f>Emissions!J74*L$69</f>
        <v>2178.3462008666916</v>
      </c>
      <c r="U94" s="55">
        <f>Emissions!K74*M$69</f>
        <v>2247.2950195008716</v>
      </c>
      <c r="V94" s="55">
        <f>Emissions!L74*N$69</f>
        <v>2318.4261999603468</v>
      </c>
      <c r="W94" s="55">
        <f>Emissions!M74*O$69</f>
        <v>2391.8088181659355</v>
      </c>
      <c r="X94" s="55">
        <f>Emissions!N74*P$69</f>
        <v>2467.5141364233095</v>
      </c>
      <c r="Y94" s="55">
        <f>Emissions!O74*Q$69</f>
        <v>2545.6156726262493</v>
      </c>
      <c r="Z94" s="55">
        <f>Emissions!P74*R$69</f>
        <v>2626.1892716503153</v>
      </c>
      <c r="AA94" s="55">
        <f>Emissions!Q74*S$69</f>
        <v>2709.3131790062735</v>
      </c>
      <c r="AB94" s="55">
        <f>Emissions!R74*T$69</f>
        <v>2795.068116824777</v>
      </c>
      <c r="AC94" s="55">
        <f>Emissions!S74*U$69</f>
        <v>2883.5373622461216</v>
      </c>
      <c r="AD94" s="55">
        <f>Emissions!T74*V$69</f>
        <v>2974.8068282911827</v>
      </c>
      <c r="AE94" s="55">
        <f>Emissions!U74*W$69</f>
        <v>14424.078159289002</v>
      </c>
      <c r="AF94" s="55">
        <f>Emissions!V74*X$69</f>
        <v>14424.078159289002</v>
      </c>
      <c r="AG94" s="55">
        <f>Emissions!W74*Y$69</f>
        <v>14424.078159289002</v>
      </c>
      <c r="AH94" s="55">
        <f>Emissions!X74*Z$69</f>
        <v>14424.078159289002</v>
      </c>
      <c r="AI94" s="55">
        <f>Emissions!Y74*AA$69</f>
        <v>14424.078159289002</v>
      </c>
      <c r="AJ94" s="55">
        <f>Emissions!Z74*AB$69</f>
        <v>14424.078159289002</v>
      </c>
      <c r="AK94" s="55">
        <f>Emissions!AA74*AC$69</f>
        <v>14424.078159289002</v>
      </c>
      <c r="AL94" s="55">
        <f>Emissions!AB74*AD$69</f>
        <v>14424.078159289002</v>
      </c>
      <c r="AM94" s="55">
        <f>Emissions!AC74*AE$69</f>
        <v>14424.078159289002</v>
      </c>
      <c r="AN94" s="55">
        <f>Emissions!AD74*AF$69</f>
        <v>14424.078159289002</v>
      </c>
      <c r="AO94" s="55">
        <f>Emissions!AE74*AG$69</f>
        <v>14424.078159289002</v>
      </c>
    </row>
    <row r="95" spans="1:41" s="46" customFormat="1">
      <c r="A95" s="111" t="s">
        <v>55</v>
      </c>
      <c r="C95" s="47">
        <f>ROUND(G95+NPV(Assumptions!$B$4,H95:AO95),-3)</f>
        <v>2000</v>
      </c>
      <c r="E95" s="48">
        <v>0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  <c r="L95" s="55">
        <f>Emissions!B75*Assumptions!$C$55</f>
        <v>105.36890953454653</v>
      </c>
      <c r="M95" s="55">
        <f>Emissions!C75*Assumptions!$C$55</f>
        <v>109.64366490545807</v>
      </c>
      <c r="N95" s="55">
        <f>Emissions!D75*Assumptions!$C$55</f>
        <v>114.09184461531225</v>
      </c>
      <c r="O95" s="55">
        <f>Emissions!E75*Assumptions!$C$55</f>
        <v>118.72048438866595</v>
      </c>
      <c r="P95" s="55">
        <f>Emissions!F75*Assumptions!$C$55</f>
        <v>123.53690538532892</v>
      </c>
      <c r="Q95" s="55">
        <f>Emissions!G75*Assumptions!$C$55</f>
        <v>128.54872578030592</v>
      </c>
      <c r="R95" s="55">
        <f>Emissions!H75*Assumptions!$C$55</f>
        <v>133.7638728135305</v>
      </c>
      <c r="S95" s="55">
        <f>Emissions!I75*Assumptions!$C$55</f>
        <v>139.19059532844932</v>
      </c>
      <c r="T95" s="55">
        <f>Emissions!J75*Assumptions!$C$55</f>
        <v>144.83747681928966</v>
      </c>
      <c r="U95" s="55">
        <f>Emissions!K75*Assumptions!$C$55</f>
        <v>150.713449007647</v>
      </c>
      <c r="V95" s="55">
        <f>Emissions!L75*Assumptions!$C$55</f>
        <v>156.82780596986663</v>
      </c>
      <c r="W95" s="55">
        <f>Emissions!M75*Assumptions!$C$55</f>
        <v>163.19021883756517</v>
      </c>
      <c r="X95" s="55">
        <f>Emissions!N75*Assumptions!$C$55</f>
        <v>169.8107510945436</v>
      </c>
      <c r="Y95" s="55">
        <f>Emissions!O75*Assumptions!$C$55</f>
        <v>176.69987449428737</v>
      </c>
      <c r="Z95" s="55">
        <f>Emissions!P75*Assumptions!$C$55</f>
        <v>183.86848562322945</v>
      </c>
      <c r="AA95" s="55">
        <f>Emissions!Q75*Assumptions!$C$55</f>
        <v>191.32792313597676</v>
      </c>
      <c r="AB95" s="55">
        <f>Emissions!R75*Assumptions!$C$55</f>
        <v>199.08998568975801</v>
      </c>
      <c r="AC95" s="55">
        <f>Emissions!S75*Assumptions!$C$55</f>
        <v>207.16695060646299</v>
      </c>
      <c r="AD95" s="55">
        <f>Emissions!T75*Assumptions!$C$55</f>
        <v>215.57159329178924</v>
      </c>
      <c r="AE95" s="55">
        <f>Emissions!U75*Assumptions!$C$55</f>
        <v>609.26186116080783</v>
      </c>
      <c r="AF95" s="55">
        <f>Emissions!V75*Assumptions!$C$55</f>
        <v>609.26186116080783</v>
      </c>
      <c r="AG95" s="55">
        <f>Emissions!W75*Assumptions!$C$55</f>
        <v>609.26186116080783</v>
      </c>
      <c r="AH95" s="55">
        <f>Emissions!X75*Assumptions!$C$55</f>
        <v>609.26186116080783</v>
      </c>
      <c r="AI95" s="55">
        <f>Emissions!Y75*Assumptions!$C$55</f>
        <v>609.26186116080783</v>
      </c>
      <c r="AJ95" s="55">
        <f>Emissions!Z75*Assumptions!$C$55</f>
        <v>609.26186116080783</v>
      </c>
      <c r="AK95" s="55">
        <f>Emissions!AA75*Assumptions!$C$55</f>
        <v>609.26186116080783</v>
      </c>
      <c r="AL95" s="55">
        <f>Emissions!AB75*Assumptions!$C$55</f>
        <v>609.26186116080783</v>
      </c>
      <c r="AM95" s="55">
        <f>Emissions!AC75*Assumptions!$C$55</f>
        <v>609.26186116080783</v>
      </c>
      <c r="AN95" s="55">
        <f>Emissions!AD75*Assumptions!$C$55</f>
        <v>609.26186116080783</v>
      </c>
      <c r="AO95" s="55">
        <f>Emissions!AE75*Assumptions!$C$55</f>
        <v>609.26186116080783</v>
      </c>
    </row>
    <row r="96" spans="1:41" s="46" customFormat="1">
      <c r="A96" s="95" t="s">
        <v>122</v>
      </c>
      <c r="C96" s="47"/>
      <c r="E96" s="52"/>
      <c r="F96" s="52"/>
      <c r="G96" s="52"/>
      <c r="H96" s="52"/>
      <c r="I96" s="52"/>
      <c r="J96" s="52"/>
      <c r="K96" s="52"/>
      <c r="AO96" s="48"/>
    </row>
    <row r="97" spans="1:41" s="46" customFormat="1">
      <c r="A97" s="105" t="s">
        <v>178</v>
      </c>
      <c r="C97" s="47">
        <f>ROUND(G97+NPV(Assumptions!$B$4,H97:AO97),-3)</f>
        <v>3319000</v>
      </c>
      <c r="E97" s="48">
        <v>0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6">
        <f t="shared" ref="L97" si="100">SUM(L72:L82)</f>
        <v>313766.31721173233</v>
      </c>
      <c r="M97" s="46">
        <f t="shared" ref="M97:AO97" si="101">SUM(M72:M82)</f>
        <v>353504.51799617673</v>
      </c>
      <c r="N97" s="46">
        <f t="shared" si="101"/>
        <v>352176.01881235273</v>
      </c>
      <c r="O97" s="46">
        <f t="shared" si="101"/>
        <v>350939.79089024675</v>
      </c>
      <c r="P97" s="46">
        <f t="shared" si="101"/>
        <v>349792.71788805764</v>
      </c>
      <c r="Q97" s="46">
        <f t="shared" si="101"/>
        <v>348731.84108753019</v>
      </c>
      <c r="R97" s="46">
        <f t="shared" si="101"/>
        <v>347754.35153012641</v>
      </c>
      <c r="S97" s="46">
        <f t="shared" si="101"/>
        <v>346857.58258166281</v>
      </c>
      <c r="T97" s="46">
        <f t="shared" si="101"/>
        <v>346039.0029012427</v>
      </c>
      <c r="U97" s="46">
        <f t="shared" si="101"/>
        <v>345296.20979171677</v>
      </c>
      <c r="V97" s="46">
        <f t="shared" si="101"/>
        <v>344626.92291022994</v>
      </c>
      <c r="W97" s="46">
        <f t="shared" si="101"/>
        <v>344028.97831865569</v>
      </c>
      <c r="X97" s="46">
        <f t="shared" si="101"/>
        <v>343500.32285488985</v>
      </c>
      <c r="Y97" s="46">
        <f t="shared" si="101"/>
        <v>343039.00880707806</v>
      </c>
      <c r="Z97" s="46">
        <f t="shared" si="101"/>
        <v>342643.18887388794</v>
      </c>
      <c r="AA97" s="46">
        <f t="shared" si="101"/>
        <v>342311.11139490956</v>
      </c>
      <c r="AB97" s="46">
        <f t="shared" si="101"/>
        <v>342041.11583619076</v>
      </c>
      <c r="AC97" s="46">
        <f t="shared" si="101"/>
        <v>341831.62851677148</v>
      </c>
      <c r="AD97" s="46">
        <f t="shared" si="101"/>
        <v>341681.15856290277</v>
      </c>
      <c r="AE97" s="46">
        <f t="shared" si="101"/>
        <v>382474.13672079635</v>
      </c>
      <c r="AF97" s="46">
        <f t="shared" si="101"/>
        <v>382474.13672079635</v>
      </c>
      <c r="AG97" s="46">
        <f t="shared" si="101"/>
        <v>382474.13672079635</v>
      </c>
      <c r="AH97" s="46">
        <f t="shared" si="101"/>
        <v>382474.13672079635</v>
      </c>
      <c r="AI97" s="46">
        <f t="shared" si="101"/>
        <v>382474.13672079635</v>
      </c>
      <c r="AJ97" s="46">
        <f t="shared" si="101"/>
        <v>382474.13672079635</v>
      </c>
      <c r="AK97" s="46">
        <f t="shared" si="101"/>
        <v>382474.13672079635</v>
      </c>
      <c r="AL97" s="46">
        <f t="shared" si="101"/>
        <v>382474.13672079635</v>
      </c>
      <c r="AM97" s="46">
        <f t="shared" si="101"/>
        <v>382474.13672079635</v>
      </c>
      <c r="AN97" s="46">
        <f t="shared" si="101"/>
        <v>382474.13672079635</v>
      </c>
      <c r="AO97" s="46">
        <f t="shared" si="101"/>
        <v>382474.13672079635</v>
      </c>
    </row>
    <row r="98" spans="1:41" s="46" customFormat="1">
      <c r="A98" s="105" t="s">
        <v>57</v>
      </c>
      <c r="C98" s="47">
        <f>ROUND(G98+NPV(Assumptions!$B$4,H98:AO98),-3)</f>
        <v>3278000</v>
      </c>
      <c r="E98" s="48">
        <v>0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8">
        <v>0</v>
      </c>
      <c r="L98" s="46">
        <f t="shared" ref="L98" si="102">SUM(L73:L82)</f>
        <v>306780.01321676892</v>
      </c>
      <c r="M98" s="46">
        <f t="shared" ref="M98:AO98" si="103">SUM(M73:M82)</f>
        <v>346945.79568993842</v>
      </c>
      <c r="N98" s="46">
        <f t="shared" si="103"/>
        <v>346018.70897851791</v>
      </c>
      <c r="O98" s="46">
        <f t="shared" si="103"/>
        <v>345159.3259430147</v>
      </c>
      <c r="P98" s="46">
        <f t="shared" si="103"/>
        <v>344366.03384780238</v>
      </c>
      <c r="Q98" s="46">
        <f t="shared" si="103"/>
        <v>343637.28555582295</v>
      </c>
      <c r="R98" s="46">
        <f t="shared" si="103"/>
        <v>342971.59729694866</v>
      </c>
      <c r="S98" s="46">
        <f t="shared" si="103"/>
        <v>342367.54652010388</v>
      </c>
      <c r="T98" s="46">
        <f t="shared" si="103"/>
        <v>341823.76982607285</v>
      </c>
      <c r="U98" s="46">
        <f t="shared" si="103"/>
        <v>341338.96097803197</v>
      </c>
      <c r="V98" s="46">
        <f t="shared" si="103"/>
        <v>340911.86898695939</v>
      </c>
      <c r="W98" s="46">
        <f t="shared" si="103"/>
        <v>340541.29626917734</v>
      </c>
      <c r="X98" s="46">
        <f t="shared" si="103"/>
        <v>340226.09687338787</v>
      </c>
      <c r="Y98" s="46">
        <f t="shared" si="103"/>
        <v>339965.17477465922</v>
      </c>
      <c r="Z98" s="46">
        <f t="shared" si="103"/>
        <v>339757.48223291815</v>
      </c>
      <c r="AA98" s="46">
        <f t="shared" si="103"/>
        <v>339602.01821358892</v>
      </c>
      <c r="AB98" s="46">
        <f t="shared" si="103"/>
        <v>339497.82686811616</v>
      </c>
      <c r="AC98" s="46">
        <f t="shared" si="103"/>
        <v>339443.99607218476</v>
      </c>
      <c r="AD98" s="46">
        <f t="shared" si="103"/>
        <v>339439.65601954091</v>
      </c>
      <c r="AE98" s="46">
        <f t="shared" si="103"/>
        <v>380232.63417743455</v>
      </c>
      <c r="AF98" s="46">
        <f t="shared" si="103"/>
        <v>380232.63417743455</v>
      </c>
      <c r="AG98" s="46">
        <f t="shared" si="103"/>
        <v>380232.63417743455</v>
      </c>
      <c r="AH98" s="46">
        <f t="shared" si="103"/>
        <v>380232.63417743455</v>
      </c>
      <c r="AI98" s="46">
        <f t="shared" si="103"/>
        <v>380232.63417743455</v>
      </c>
      <c r="AJ98" s="46">
        <f t="shared" si="103"/>
        <v>380232.63417743455</v>
      </c>
      <c r="AK98" s="46">
        <f t="shared" si="103"/>
        <v>380232.63417743455</v>
      </c>
      <c r="AL98" s="46">
        <f t="shared" si="103"/>
        <v>380232.63417743455</v>
      </c>
      <c r="AM98" s="46">
        <f t="shared" si="103"/>
        <v>380232.63417743455</v>
      </c>
      <c r="AN98" s="46">
        <f t="shared" si="103"/>
        <v>380232.63417743455</v>
      </c>
      <c r="AO98" s="46">
        <f t="shared" si="103"/>
        <v>380232.63417743455</v>
      </c>
    </row>
    <row r="99" spans="1:41" s="46" customFormat="1">
      <c r="A99" s="109" t="s">
        <v>123</v>
      </c>
      <c r="C99" s="96">
        <f>ROUND(G99+NPV(Assumptions!$B$4,H99:AO99),-3)</f>
        <v>41000</v>
      </c>
      <c r="E99" s="99">
        <v>0</v>
      </c>
      <c r="F99" s="99">
        <v>0</v>
      </c>
      <c r="G99" s="99">
        <v>0</v>
      </c>
      <c r="H99" s="99">
        <v>0</v>
      </c>
      <c r="I99" s="99">
        <v>0</v>
      </c>
      <c r="J99" s="99">
        <v>0</v>
      </c>
      <c r="K99" s="99">
        <v>0</v>
      </c>
      <c r="L99" s="106">
        <f>L97-L98</f>
        <v>6986.3039949634112</v>
      </c>
      <c r="M99" s="106">
        <f>M97-M98</f>
        <v>6558.7223062383127</v>
      </c>
      <c r="N99" s="106">
        <f t="shared" ref="N99:AO99" si="104">N97-N98</f>
        <v>6157.3098338348209</v>
      </c>
      <c r="O99" s="106">
        <f t="shared" si="104"/>
        <v>5780.4649472320452</v>
      </c>
      <c r="P99" s="106">
        <f t="shared" si="104"/>
        <v>5426.6840402552625</v>
      </c>
      <c r="Q99" s="106">
        <f t="shared" si="104"/>
        <v>5094.5555317072431</v>
      </c>
      <c r="R99" s="106">
        <f t="shared" si="104"/>
        <v>4782.7542331777513</v>
      </c>
      <c r="S99" s="106">
        <f t="shared" si="104"/>
        <v>4490.0360615589307</v>
      </c>
      <c r="T99" s="106">
        <f t="shared" si="104"/>
        <v>4215.2330751698464</v>
      </c>
      <c r="U99" s="106">
        <f t="shared" si="104"/>
        <v>3957.2488136847969</v>
      </c>
      <c r="V99" s="106">
        <f t="shared" si="104"/>
        <v>3715.0539232705487</v>
      </c>
      <c r="W99" s="106">
        <f t="shared" si="104"/>
        <v>3487.682049478346</v>
      </c>
      <c r="X99" s="106">
        <f t="shared" si="104"/>
        <v>3274.2259815019788</v>
      </c>
      <c r="Y99" s="106">
        <f t="shared" si="104"/>
        <v>3073.8340324188466</v>
      </c>
      <c r="Z99" s="106">
        <f t="shared" si="104"/>
        <v>2885.7066409697873</v>
      </c>
      <c r="AA99" s="106">
        <f t="shared" si="104"/>
        <v>2709.0931813206407</v>
      </c>
      <c r="AB99" s="106">
        <f t="shared" si="104"/>
        <v>2543.2889680746011</v>
      </c>
      <c r="AC99" s="106">
        <f t="shared" si="104"/>
        <v>2387.6324445867212</v>
      </c>
      <c r="AD99" s="106">
        <f t="shared" si="104"/>
        <v>2241.5025433618575</v>
      </c>
      <c r="AE99" s="106">
        <f t="shared" si="104"/>
        <v>2241.5025433617993</v>
      </c>
      <c r="AF99" s="106">
        <f t="shared" si="104"/>
        <v>2241.5025433617993</v>
      </c>
      <c r="AG99" s="106">
        <f t="shared" si="104"/>
        <v>2241.5025433617993</v>
      </c>
      <c r="AH99" s="106">
        <f t="shared" si="104"/>
        <v>2241.5025433617993</v>
      </c>
      <c r="AI99" s="106">
        <f t="shared" si="104"/>
        <v>2241.5025433617993</v>
      </c>
      <c r="AJ99" s="106">
        <f t="shared" si="104"/>
        <v>2241.5025433617993</v>
      </c>
      <c r="AK99" s="106">
        <f t="shared" si="104"/>
        <v>2241.5025433617993</v>
      </c>
      <c r="AL99" s="106">
        <f t="shared" si="104"/>
        <v>2241.5025433617993</v>
      </c>
      <c r="AM99" s="106">
        <f t="shared" si="104"/>
        <v>2241.5025433617993</v>
      </c>
      <c r="AN99" s="106">
        <f t="shared" si="104"/>
        <v>2241.5025433617993</v>
      </c>
      <c r="AO99" s="106">
        <f t="shared" si="104"/>
        <v>2241.5025433617993</v>
      </c>
    </row>
    <row r="100" spans="1:41" s="46" customFormat="1">
      <c r="A100" s="109"/>
      <c r="C100" s="96"/>
      <c r="E100" s="99"/>
      <c r="F100" s="99"/>
      <c r="G100" s="99"/>
      <c r="H100" s="99"/>
      <c r="I100" s="99"/>
      <c r="J100" s="99"/>
      <c r="K100" s="99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</row>
    <row r="101" spans="1:41">
      <c r="A101" s="16" t="s">
        <v>363</v>
      </c>
      <c r="B101" s="17"/>
      <c r="C101" s="18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</row>
    <row r="102" spans="1:41" s="26" customFormat="1">
      <c r="A102" s="387" t="s">
        <v>33</v>
      </c>
      <c r="C102" s="340">
        <f>ROUND(G102+NPV(Assumptions!$B$4,H102:AO102),-3)</f>
        <v>481000</v>
      </c>
      <c r="E102" s="46">
        <v>0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46">
        <v>0</v>
      </c>
      <c r="U102" s="46">
        <v>0</v>
      </c>
      <c r="V102" s="46">
        <v>0</v>
      </c>
      <c r="W102" s="46">
        <v>0</v>
      </c>
      <c r="X102" s="46">
        <v>0</v>
      </c>
      <c r="Y102" s="46">
        <v>0</v>
      </c>
      <c r="Z102" s="46">
        <v>0</v>
      </c>
      <c r="AA102" s="46">
        <v>0</v>
      </c>
      <c r="AB102" s="46">
        <v>0</v>
      </c>
      <c r="AC102" s="46">
        <v>0</v>
      </c>
      <c r="AD102" s="46">
        <v>0</v>
      </c>
      <c r="AE102" s="46">
        <v>0</v>
      </c>
      <c r="AF102" s="46">
        <v>0</v>
      </c>
      <c r="AG102" s="46">
        <v>0</v>
      </c>
      <c r="AH102" s="46">
        <v>0</v>
      </c>
      <c r="AI102" s="46">
        <v>0</v>
      </c>
      <c r="AJ102" s="46">
        <v>0</v>
      </c>
      <c r="AK102" s="46">
        <v>0</v>
      </c>
      <c r="AL102" s="46">
        <v>0</v>
      </c>
      <c r="AM102" s="46">
        <v>0</v>
      </c>
      <c r="AN102" s="46">
        <v>0</v>
      </c>
      <c r="AO102" s="386">
        <f>AO19-AO20</f>
        <v>4804000</v>
      </c>
    </row>
    <row r="103" spans="1:41">
      <c r="A103" s="68" t="s">
        <v>353</v>
      </c>
      <c r="C103" s="340">
        <f>ROUND(G103+NPV(Assumptions!$B$4,H103:AO103),-3)</f>
        <v>847682000</v>
      </c>
      <c r="E103" s="46">
        <f t="shared" ref="E103:AO103" si="105">E43</f>
        <v>0</v>
      </c>
      <c r="F103" s="46">
        <f t="shared" si="105"/>
        <v>0</v>
      </c>
      <c r="G103" s="46">
        <f t="shared" si="105"/>
        <v>0</v>
      </c>
      <c r="H103" s="46">
        <f t="shared" si="105"/>
        <v>0</v>
      </c>
      <c r="I103" s="46">
        <f t="shared" si="105"/>
        <v>0</v>
      </c>
      <c r="J103" s="46">
        <f t="shared" si="105"/>
        <v>0</v>
      </c>
      <c r="K103" s="46">
        <f t="shared" si="105"/>
        <v>0</v>
      </c>
      <c r="L103" s="46">
        <f t="shared" si="105"/>
        <v>110033783.37164994</v>
      </c>
      <c r="M103" s="46">
        <f t="shared" si="105"/>
        <v>109047735.66253133</v>
      </c>
      <c r="N103" s="46">
        <f t="shared" si="105"/>
        <v>107557707.24669895</v>
      </c>
      <c r="O103" s="46">
        <f t="shared" si="105"/>
        <v>105932137.970645</v>
      </c>
      <c r="P103" s="46">
        <f t="shared" si="105"/>
        <v>104164704.01269227</v>
      </c>
      <c r="Q103" s="46">
        <f t="shared" si="105"/>
        <v>102248830.78955245</v>
      </c>
      <c r="R103" s="46">
        <f t="shared" si="105"/>
        <v>100177684.31262149</v>
      </c>
      <c r="S103" s="46">
        <f t="shared" si="105"/>
        <v>97944162.327345312</v>
      </c>
      <c r="T103" s="46">
        <f t="shared" si="105"/>
        <v>95540885.236982435</v>
      </c>
      <c r="U103" s="46">
        <f t="shared" si="105"/>
        <v>92960186.812873632</v>
      </c>
      <c r="V103" s="46">
        <f t="shared" si="105"/>
        <v>90194104.694195092</v>
      </c>
      <c r="W103" s="46">
        <f t="shared" si="105"/>
        <v>87234370.681128442</v>
      </c>
      <c r="X103" s="46">
        <f t="shared" si="105"/>
        <v>84072400.826432943</v>
      </c>
      <c r="Y103" s="46">
        <f t="shared" si="105"/>
        <v>80699285.33156684</v>
      </c>
      <c r="Z103" s="46">
        <f t="shared" si="105"/>
        <v>77105778.25477609</v>
      </c>
      <c r="AA103" s="46">
        <f t="shared" si="105"/>
        <v>73282287.039965928</v>
      </c>
      <c r="AB103" s="46">
        <f t="shared" si="105"/>
        <v>69218861.876701325</v>
      </c>
      <c r="AC103" s="46">
        <f t="shared" si="105"/>
        <v>64905184.903354317</v>
      </c>
      <c r="AD103" s="46">
        <f t="shared" si="105"/>
        <v>60330559.267248064</v>
      </c>
      <c r="AE103" s="46">
        <f t="shared" si="105"/>
        <v>60330559.267248064</v>
      </c>
      <c r="AF103" s="46">
        <f t="shared" si="105"/>
        <v>60330559.267248064</v>
      </c>
      <c r="AG103" s="46">
        <f t="shared" si="105"/>
        <v>60330559.267248064</v>
      </c>
      <c r="AH103" s="46">
        <f t="shared" si="105"/>
        <v>60330559.267248064</v>
      </c>
      <c r="AI103" s="46">
        <f t="shared" si="105"/>
        <v>60330559.267248064</v>
      </c>
      <c r="AJ103" s="46">
        <f t="shared" si="105"/>
        <v>60330559.267248064</v>
      </c>
      <c r="AK103" s="46">
        <f t="shared" si="105"/>
        <v>60330559.267248064</v>
      </c>
      <c r="AL103" s="46">
        <f t="shared" si="105"/>
        <v>60330559.267248064</v>
      </c>
      <c r="AM103" s="46">
        <f t="shared" si="105"/>
        <v>60330559.267248064</v>
      </c>
      <c r="AN103" s="46">
        <f t="shared" si="105"/>
        <v>60330559.267248064</v>
      </c>
      <c r="AO103" s="46">
        <f t="shared" si="105"/>
        <v>60330559.267248064</v>
      </c>
    </row>
    <row r="104" spans="1:41">
      <c r="A104" s="68" t="s">
        <v>403</v>
      </c>
      <c r="C104" s="340">
        <f>ROUND(G104+NPV(Assumptions!$B$4,H104:AO104),-3)</f>
        <v>1937000</v>
      </c>
      <c r="E104" s="46">
        <f t="shared" ref="E104:AO104" si="106">E59</f>
        <v>0</v>
      </c>
      <c r="F104" s="46">
        <f t="shared" si="106"/>
        <v>0</v>
      </c>
      <c r="G104" s="46">
        <f t="shared" si="106"/>
        <v>0</v>
      </c>
      <c r="H104" s="46">
        <f t="shared" si="106"/>
        <v>0</v>
      </c>
      <c r="I104" s="46">
        <f t="shared" si="106"/>
        <v>0</v>
      </c>
      <c r="J104" s="46">
        <f t="shared" si="106"/>
        <v>0</v>
      </c>
      <c r="K104" s="46">
        <f t="shared" si="106"/>
        <v>0</v>
      </c>
      <c r="L104" s="46">
        <f t="shared" si="106"/>
        <v>202770.94381457905</v>
      </c>
      <c r="M104" s="46">
        <f t="shared" si="106"/>
        <v>193021.19811701443</v>
      </c>
      <c r="N104" s="46">
        <f t="shared" si="106"/>
        <v>194332.03579209896</v>
      </c>
      <c r="O104" s="46">
        <f t="shared" si="106"/>
        <v>195651.77557445102</v>
      </c>
      <c r="P104" s="46">
        <f t="shared" si="106"/>
        <v>196980.47791969776</v>
      </c>
      <c r="Q104" s="46">
        <f t="shared" si="106"/>
        <v>198318.20369403029</v>
      </c>
      <c r="R104" s="46">
        <f t="shared" si="106"/>
        <v>199665.01417699148</v>
      </c>
      <c r="S104" s="46">
        <f t="shared" si="106"/>
        <v>201020.97106428348</v>
      </c>
      <c r="T104" s="46">
        <f t="shared" si="106"/>
        <v>202386.13647059374</v>
      </c>
      <c r="U104" s="46">
        <f t="shared" si="106"/>
        <v>203760.57293244041</v>
      </c>
      <c r="V104" s="46">
        <f t="shared" si="106"/>
        <v>205144.34341103712</v>
      </c>
      <c r="W104" s="46">
        <f t="shared" si="106"/>
        <v>206537.5112951771</v>
      </c>
      <c r="X104" s="46">
        <f t="shared" si="106"/>
        <v>207940.140404137</v>
      </c>
      <c r="Y104" s="46">
        <f t="shared" si="106"/>
        <v>209352.29499060014</v>
      </c>
      <c r="Z104" s="46">
        <f t="shared" si="106"/>
        <v>210774.0397436005</v>
      </c>
      <c r="AA104" s="46">
        <f t="shared" si="106"/>
        <v>212205.43979148506</v>
      </c>
      <c r="AB104" s="46">
        <f t="shared" si="106"/>
        <v>213646.56070489797</v>
      </c>
      <c r="AC104" s="46">
        <f t="shared" si="106"/>
        <v>215097.46849978418</v>
      </c>
      <c r="AD104" s="46">
        <f t="shared" si="106"/>
        <v>216558.22964041325</v>
      </c>
      <c r="AE104" s="46">
        <f t="shared" si="106"/>
        <v>216558.22964041325</v>
      </c>
      <c r="AF104" s="46">
        <f t="shared" si="106"/>
        <v>216558.22964041325</v>
      </c>
      <c r="AG104" s="46">
        <f t="shared" si="106"/>
        <v>216558.22964041325</v>
      </c>
      <c r="AH104" s="46">
        <f t="shared" si="106"/>
        <v>216558.22964041325</v>
      </c>
      <c r="AI104" s="46">
        <f t="shared" si="106"/>
        <v>216558.22964041325</v>
      </c>
      <c r="AJ104" s="46">
        <f t="shared" si="106"/>
        <v>216558.22964041325</v>
      </c>
      <c r="AK104" s="46">
        <f t="shared" si="106"/>
        <v>216558.22964041325</v>
      </c>
      <c r="AL104" s="46">
        <f t="shared" si="106"/>
        <v>216558.22964041325</v>
      </c>
      <c r="AM104" s="46">
        <f t="shared" si="106"/>
        <v>216558.22964041325</v>
      </c>
      <c r="AN104" s="46">
        <f t="shared" si="106"/>
        <v>216558.22964041325</v>
      </c>
      <c r="AO104" s="46">
        <f t="shared" si="106"/>
        <v>216558.22964041325</v>
      </c>
    </row>
    <row r="105" spans="1:41">
      <c r="A105" s="68" t="s">
        <v>314</v>
      </c>
      <c r="C105" s="340">
        <f>ROUND(G105+NPV(Assumptions!$B$4,H105:AO105),-3)</f>
        <v>141169000</v>
      </c>
      <c r="E105" s="46">
        <f t="shared" ref="E105:AO105" si="107">E66</f>
        <v>0</v>
      </c>
      <c r="F105" s="46">
        <f t="shared" si="107"/>
        <v>0</v>
      </c>
      <c r="G105" s="46">
        <f t="shared" si="107"/>
        <v>0</v>
      </c>
      <c r="H105" s="46">
        <f t="shared" si="107"/>
        <v>0</v>
      </c>
      <c r="I105" s="46">
        <f t="shared" si="107"/>
        <v>0</v>
      </c>
      <c r="J105" s="46">
        <f t="shared" si="107"/>
        <v>0</v>
      </c>
      <c r="K105" s="46">
        <f t="shared" si="107"/>
        <v>0</v>
      </c>
      <c r="L105" s="46">
        <f t="shared" si="107"/>
        <v>19260633.05607529</v>
      </c>
      <c r="M105" s="46">
        <f t="shared" si="107"/>
        <v>18974682.304868892</v>
      </c>
      <c r="N105" s="46">
        <f t="shared" si="107"/>
        <v>18662392.750377305</v>
      </c>
      <c r="O105" s="46">
        <f t="shared" si="107"/>
        <v>18322452.326912336</v>
      </c>
      <c r="P105" s="46">
        <f t="shared" si="107"/>
        <v>17953490.148395095</v>
      </c>
      <c r="Q105" s="46">
        <f t="shared" si="107"/>
        <v>17554073.942411397</v>
      </c>
      <c r="R105" s="46">
        <f t="shared" si="107"/>
        <v>17122707.373188123</v>
      </c>
      <c r="S105" s="46">
        <f t="shared" si="107"/>
        <v>16657827.248692974</v>
      </c>
      <c r="T105" s="46">
        <f t="shared" si="107"/>
        <v>16157800.606852237</v>
      </c>
      <c r="U105" s="46">
        <f t="shared" si="107"/>
        <v>15620921.675665811</v>
      </c>
      <c r="V105" s="46">
        <f t="shared" si="107"/>
        <v>15045408.701772586</v>
      </c>
      <c r="W105" s="46">
        <f t="shared" si="107"/>
        <v>14429400.641785003</v>
      </c>
      <c r="X105" s="46">
        <f t="shared" si="107"/>
        <v>13770953.710465726</v>
      </c>
      <c r="Y105" s="46">
        <f t="shared" si="107"/>
        <v>13068037.779563773</v>
      </c>
      <c r="Z105" s="46">
        <f t="shared" si="107"/>
        <v>12318532.620860785</v>
      </c>
      <c r="AA105" s="46">
        <f t="shared" si="107"/>
        <v>11520223.986699164</v>
      </c>
      <c r="AB105" s="46">
        <f t="shared" si="107"/>
        <v>10670799.520974249</v>
      </c>
      <c r="AC105" s="46">
        <f t="shared" si="107"/>
        <v>9767844.4932686239</v>
      </c>
      <c r="AD105" s="46">
        <f t="shared" si="107"/>
        <v>8808837.3484921679</v>
      </c>
      <c r="AE105" s="46">
        <f t="shared" si="107"/>
        <v>8808837.3484921679</v>
      </c>
      <c r="AF105" s="46">
        <f t="shared" si="107"/>
        <v>8808837.3484921679</v>
      </c>
      <c r="AG105" s="46">
        <f t="shared" si="107"/>
        <v>8808837.3484921679</v>
      </c>
      <c r="AH105" s="46">
        <f t="shared" si="107"/>
        <v>8808837.3484921679</v>
      </c>
      <c r="AI105" s="46">
        <f t="shared" si="107"/>
        <v>8808837.3484921679</v>
      </c>
      <c r="AJ105" s="46">
        <f t="shared" si="107"/>
        <v>8808837.3484921679</v>
      </c>
      <c r="AK105" s="46">
        <f t="shared" si="107"/>
        <v>8808837.3484921679</v>
      </c>
      <c r="AL105" s="46">
        <f t="shared" si="107"/>
        <v>8808837.3484921679</v>
      </c>
      <c r="AM105" s="46">
        <f t="shared" si="107"/>
        <v>8808837.3484921679</v>
      </c>
      <c r="AN105" s="46">
        <f t="shared" si="107"/>
        <v>8808837.3484921679</v>
      </c>
      <c r="AO105" s="46">
        <f t="shared" si="107"/>
        <v>8808837.3484921679</v>
      </c>
    </row>
    <row r="106" spans="1:41">
      <c r="A106" s="68" t="s">
        <v>354</v>
      </c>
      <c r="C106" s="340">
        <f>ROUND(G106+NPV(Assumptions!$B$4,H106:AO106),-3)</f>
        <v>41000</v>
      </c>
      <c r="E106" s="46">
        <f t="shared" ref="E106:AO106" si="108">E99</f>
        <v>0</v>
      </c>
      <c r="F106" s="46">
        <f t="shared" si="108"/>
        <v>0</v>
      </c>
      <c r="G106" s="46">
        <f t="shared" si="108"/>
        <v>0</v>
      </c>
      <c r="H106" s="46">
        <f t="shared" si="108"/>
        <v>0</v>
      </c>
      <c r="I106" s="46">
        <f t="shared" si="108"/>
        <v>0</v>
      </c>
      <c r="J106" s="46">
        <f t="shared" si="108"/>
        <v>0</v>
      </c>
      <c r="K106" s="46">
        <f t="shared" si="108"/>
        <v>0</v>
      </c>
      <c r="L106" s="46">
        <f t="shared" si="108"/>
        <v>6986.3039949634112</v>
      </c>
      <c r="M106" s="46">
        <f t="shared" si="108"/>
        <v>6558.7223062383127</v>
      </c>
      <c r="N106" s="46">
        <f t="shared" si="108"/>
        <v>6157.3098338348209</v>
      </c>
      <c r="O106" s="46">
        <f t="shared" si="108"/>
        <v>5780.4649472320452</v>
      </c>
      <c r="P106" s="46">
        <f t="shared" si="108"/>
        <v>5426.6840402552625</v>
      </c>
      <c r="Q106" s="46">
        <f t="shared" si="108"/>
        <v>5094.5555317072431</v>
      </c>
      <c r="R106" s="46">
        <f t="shared" si="108"/>
        <v>4782.7542331777513</v>
      </c>
      <c r="S106" s="46">
        <f t="shared" si="108"/>
        <v>4490.0360615589307</v>
      </c>
      <c r="T106" s="46">
        <f t="shared" si="108"/>
        <v>4215.2330751698464</v>
      </c>
      <c r="U106" s="46">
        <f t="shared" si="108"/>
        <v>3957.2488136847969</v>
      </c>
      <c r="V106" s="46">
        <f t="shared" si="108"/>
        <v>3715.0539232705487</v>
      </c>
      <c r="W106" s="46">
        <f t="shared" si="108"/>
        <v>3487.682049478346</v>
      </c>
      <c r="X106" s="46">
        <f t="shared" si="108"/>
        <v>3274.2259815019788</v>
      </c>
      <c r="Y106" s="46">
        <f t="shared" si="108"/>
        <v>3073.8340324188466</v>
      </c>
      <c r="Z106" s="46">
        <f t="shared" si="108"/>
        <v>2885.7066409697873</v>
      </c>
      <c r="AA106" s="46">
        <f t="shared" si="108"/>
        <v>2709.0931813206407</v>
      </c>
      <c r="AB106" s="46">
        <f t="shared" si="108"/>
        <v>2543.2889680746011</v>
      </c>
      <c r="AC106" s="46">
        <f t="shared" si="108"/>
        <v>2387.6324445867212</v>
      </c>
      <c r="AD106" s="46">
        <f t="shared" si="108"/>
        <v>2241.5025433618575</v>
      </c>
      <c r="AE106" s="46">
        <f t="shared" si="108"/>
        <v>2241.5025433617993</v>
      </c>
      <c r="AF106" s="46">
        <f t="shared" si="108"/>
        <v>2241.5025433617993</v>
      </c>
      <c r="AG106" s="46">
        <f t="shared" si="108"/>
        <v>2241.5025433617993</v>
      </c>
      <c r="AH106" s="46">
        <f t="shared" si="108"/>
        <v>2241.5025433617993</v>
      </c>
      <c r="AI106" s="46">
        <f t="shared" si="108"/>
        <v>2241.5025433617993</v>
      </c>
      <c r="AJ106" s="46">
        <f t="shared" si="108"/>
        <v>2241.5025433617993</v>
      </c>
      <c r="AK106" s="46">
        <f t="shared" si="108"/>
        <v>2241.5025433617993</v>
      </c>
      <c r="AL106" s="46">
        <f t="shared" si="108"/>
        <v>2241.5025433617993</v>
      </c>
      <c r="AM106" s="46">
        <f t="shared" si="108"/>
        <v>2241.5025433617993</v>
      </c>
      <c r="AN106" s="46">
        <f t="shared" si="108"/>
        <v>2241.5025433617993</v>
      </c>
      <c r="AO106" s="46">
        <f t="shared" si="108"/>
        <v>2241.5025433617993</v>
      </c>
    </row>
    <row r="107" spans="1:41">
      <c r="A107" s="98" t="s">
        <v>35</v>
      </c>
      <c r="C107" s="341">
        <f>ROUND(G107+NPV(Assumptions!$B$4,H107:AO107),-3)</f>
        <v>991310000</v>
      </c>
      <c r="E107" s="46">
        <f>SUM(E102:E106)</f>
        <v>0</v>
      </c>
      <c r="F107" s="46">
        <f t="shared" ref="F107:AO107" si="109">SUM(F102:F106)</f>
        <v>0</v>
      </c>
      <c r="G107" s="46">
        <f t="shared" si="109"/>
        <v>0</v>
      </c>
      <c r="H107" s="46">
        <f t="shared" si="109"/>
        <v>0</v>
      </c>
      <c r="I107" s="46">
        <f t="shared" si="109"/>
        <v>0</v>
      </c>
      <c r="J107" s="46">
        <f t="shared" si="109"/>
        <v>0</v>
      </c>
      <c r="K107" s="46">
        <f t="shared" si="109"/>
        <v>0</v>
      </c>
      <c r="L107" s="46">
        <f t="shared" si="109"/>
        <v>129504173.67553477</v>
      </c>
      <c r="M107" s="46">
        <f t="shared" si="109"/>
        <v>128221997.88782348</v>
      </c>
      <c r="N107" s="46">
        <f t="shared" si="109"/>
        <v>126420589.3427022</v>
      </c>
      <c r="O107" s="46">
        <f t="shared" si="109"/>
        <v>124456022.53807901</v>
      </c>
      <c r="P107" s="46">
        <f t="shared" si="109"/>
        <v>122320601.32304731</v>
      </c>
      <c r="Q107" s="46">
        <f t="shared" si="109"/>
        <v>120006317.49118958</v>
      </c>
      <c r="R107" s="46">
        <f t="shared" si="109"/>
        <v>117504839.45421979</v>
      </c>
      <c r="S107" s="46">
        <f t="shared" si="109"/>
        <v>114807500.58316413</v>
      </c>
      <c r="T107" s="46">
        <f t="shared" si="109"/>
        <v>111905287.21338044</v>
      </c>
      <c r="U107" s="46">
        <f t="shared" si="109"/>
        <v>108788826.31028557</v>
      </c>
      <c r="V107" s="46">
        <f t="shared" si="109"/>
        <v>105448372.79330198</v>
      </c>
      <c r="W107" s="46">
        <f t="shared" si="109"/>
        <v>101873796.51625812</v>
      </c>
      <c r="X107" s="46">
        <f t="shared" si="109"/>
        <v>98054568.903284311</v>
      </c>
      <c r="Y107" s="46">
        <f t="shared" si="109"/>
        <v>93979749.240153626</v>
      </c>
      <c r="Z107" s="46">
        <f t="shared" si="109"/>
        <v>89637970.622021452</v>
      </c>
      <c r="AA107" s="46">
        <f t="shared" si="109"/>
        <v>85017425.559637904</v>
      </c>
      <c r="AB107" s="46">
        <f t="shared" si="109"/>
        <v>80105851.247348547</v>
      </c>
      <c r="AC107" s="46">
        <f t="shared" si="109"/>
        <v>74890514.497567326</v>
      </c>
      <c r="AD107" s="46">
        <f t="shared" si="109"/>
        <v>69358196.347924009</v>
      </c>
      <c r="AE107" s="46">
        <f t="shared" si="109"/>
        <v>69358196.347924009</v>
      </c>
      <c r="AF107" s="46">
        <f t="shared" si="109"/>
        <v>69358196.347924009</v>
      </c>
      <c r="AG107" s="46">
        <f t="shared" si="109"/>
        <v>69358196.347924009</v>
      </c>
      <c r="AH107" s="46">
        <f t="shared" si="109"/>
        <v>69358196.347924009</v>
      </c>
      <c r="AI107" s="46">
        <f t="shared" si="109"/>
        <v>69358196.347924009</v>
      </c>
      <c r="AJ107" s="46">
        <f t="shared" si="109"/>
        <v>69358196.347924009</v>
      </c>
      <c r="AK107" s="46">
        <f t="shared" si="109"/>
        <v>69358196.347924009</v>
      </c>
      <c r="AL107" s="46">
        <f t="shared" si="109"/>
        <v>69358196.347924009</v>
      </c>
      <c r="AM107" s="46">
        <f t="shared" si="109"/>
        <v>69358196.347924009</v>
      </c>
      <c r="AN107" s="46">
        <f t="shared" si="109"/>
        <v>69358196.347924009</v>
      </c>
      <c r="AO107" s="46">
        <f t="shared" si="109"/>
        <v>74162196.347924009</v>
      </c>
    </row>
    <row r="108" spans="1:41">
      <c r="A108" s="8"/>
      <c r="B108" s="1"/>
      <c r="C108" s="388"/>
      <c r="AO108"/>
    </row>
    <row r="109" spans="1:41">
      <c r="A109" s="8" t="s">
        <v>364</v>
      </c>
      <c r="B109" s="1"/>
      <c r="C109" s="388"/>
      <c r="AO109"/>
    </row>
    <row r="110" spans="1:41">
      <c r="A110" s="68" t="s">
        <v>410</v>
      </c>
      <c r="B110" s="1"/>
      <c r="C110" s="340">
        <f>ROUND(G110+NPV(Assumptions!$B$4,H110:AO110),-3)</f>
        <v>9195000</v>
      </c>
      <c r="E110" s="6">
        <f>E15</f>
        <v>0</v>
      </c>
      <c r="F110" s="6">
        <f t="shared" ref="F110:AO110" si="110">F15</f>
        <v>0</v>
      </c>
      <c r="G110" s="6">
        <f t="shared" si="110"/>
        <v>-956000</v>
      </c>
      <c r="H110" s="6">
        <f t="shared" si="110"/>
        <v>-717000</v>
      </c>
      <c r="I110" s="6">
        <f t="shared" si="110"/>
        <v>-717000</v>
      </c>
      <c r="J110" s="6">
        <f t="shared" si="110"/>
        <v>8640000</v>
      </c>
      <c r="K110" s="6">
        <f t="shared" si="110"/>
        <v>5760000</v>
      </c>
      <c r="L110" s="6">
        <f t="shared" si="110"/>
        <v>0</v>
      </c>
      <c r="M110" s="6">
        <f t="shared" si="110"/>
        <v>0</v>
      </c>
      <c r="N110" s="6">
        <f t="shared" si="110"/>
        <v>0</v>
      </c>
      <c r="O110" s="6">
        <f t="shared" si="110"/>
        <v>0</v>
      </c>
      <c r="P110" s="6">
        <f t="shared" si="110"/>
        <v>0</v>
      </c>
      <c r="Q110" s="6">
        <f t="shared" si="110"/>
        <v>0</v>
      </c>
      <c r="R110" s="6">
        <f t="shared" si="110"/>
        <v>0</v>
      </c>
      <c r="S110" s="6">
        <f t="shared" si="110"/>
        <v>0</v>
      </c>
      <c r="T110" s="6">
        <f t="shared" si="110"/>
        <v>0</v>
      </c>
      <c r="U110" s="6">
        <f t="shared" si="110"/>
        <v>0</v>
      </c>
      <c r="V110" s="6">
        <f t="shared" si="110"/>
        <v>0</v>
      </c>
      <c r="W110" s="6">
        <f t="shared" si="110"/>
        <v>0</v>
      </c>
      <c r="X110" s="6">
        <f t="shared" si="110"/>
        <v>0</v>
      </c>
      <c r="Y110" s="6">
        <f t="shared" si="110"/>
        <v>0</v>
      </c>
      <c r="Z110" s="6">
        <f t="shared" si="110"/>
        <v>0</v>
      </c>
      <c r="AA110" s="6">
        <f t="shared" si="110"/>
        <v>0</v>
      </c>
      <c r="AB110" s="6">
        <f t="shared" si="110"/>
        <v>0</v>
      </c>
      <c r="AC110" s="6">
        <f t="shared" si="110"/>
        <v>0</v>
      </c>
      <c r="AD110" s="6">
        <f t="shared" si="110"/>
        <v>0</v>
      </c>
      <c r="AE110" s="6">
        <f t="shared" si="110"/>
        <v>0</v>
      </c>
      <c r="AF110" s="6">
        <f t="shared" si="110"/>
        <v>0</v>
      </c>
      <c r="AG110" s="6">
        <f t="shared" si="110"/>
        <v>0</v>
      </c>
      <c r="AH110" s="6">
        <f t="shared" si="110"/>
        <v>0</v>
      </c>
      <c r="AI110" s="6">
        <f t="shared" si="110"/>
        <v>0</v>
      </c>
      <c r="AJ110" s="6">
        <f t="shared" si="110"/>
        <v>0</v>
      </c>
      <c r="AK110" s="6">
        <f t="shared" si="110"/>
        <v>0</v>
      </c>
      <c r="AL110" s="6">
        <f t="shared" si="110"/>
        <v>0</v>
      </c>
      <c r="AM110" s="6">
        <f t="shared" si="110"/>
        <v>0</v>
      </c>
      <c r="AN110" s="6">
        <f t="shared" si="110"/>
        <v>0</v>
      </c>
      <c r="AO110" s="6">
        <f t="shared" si="110"/>
        <v>0</v>
      </c>
    </row>
    <row r="111" spans="1:41">
      <c r="A111" s="102" t="s">
        <v>361</v>
      </c>
      <c r="B111" s="1"/>
      <c r="C111" s="340">
        <f>ROUND(G111+NPV(Assumptions!$B$4,H111:AO111),-3)</f>
        <v>189000</v>
      </c>
      <c r="E111" s="6">
        <f>E17</f>
        <v>0</v>
      </c>
      <c r="F111" s="6">
        <f t="shared" ref="F111:AO111" si="111">F17</f>
        <v>0</v>
      </c>
      <c r="G111" s="6">
        <f t="shared" si="111"/>
        <v>0</v>
      </c>
      <c r="H111" s="6">
        <f t="shared" si="111"/>
        <v>0</v>
      </c>
      <c r="I111" s="6">
        <f t="shared" si="111"/>
        <v>0</v>
      </c>
      <c r="J111" s="6">
        <f t="shared" si="111"/>
        <v>0</v>
      </c>
      <c r="K111" s="6">
        <f t="shared" si="111"/>
        <v>0</v>
      </c>
      <c r="L111" s="6">
        <f t="shared" si="111"/>
        <v>20000</v>
      </c>
      <c r="M111" s="6">
        <f t="shared" si="111"/>
        <v>20000</v>
      </c>
      <c r="N111" s="6">
        <f t="shared" si="111"/>
        <v>20000</v>
      </c>
      <c r="O111" s="6">
        <f t="shared" si="111"/>
        <v>20000</v>
      </c>
      <c r="P111" s="6">
        <f t="shared" si="111"/>
        <v>20000</v>
      </c>
      <c r="Q111" s="6">
        <f t="shared" si="111"/>
        <v>20000</v>
      </c>
      <c r="R111" s="6">
        <f t="shared" si="111"/>
        <v>20000</v>
      </c>
      <c r="S111" s="6">
        <f t="shared" si="111"/>
        <v>20000</v>
      </c>
      <c r="T111" s="6">
        <f t="shared" si="111"/>
        <v>20000</v>
      </c>
      <c r="U111" s="6">
        <f t="shared" si="111"/>
        <v>20000</v>
      </c>
      <c r="V111" s="6">
        <f t="shared" si="111"/>
        <v>20000</v>
      </c>
      <c r="W111" s="6">
        <f t="shared" si="111"/>
        <v>20000</v>
      </c>
      <c r="X111" s="6">
        <f t="shared" si="111"/>
        <v>20000</v>
      </c>
      <c r="Y111" s="6">
        <f t="shared" si="111"/>
        <v>20000</v>
      </c>
      <c r="Z111" s="6">
        <f t="shared" si="111"/>
        <v>20000</v>
      </c>
      <c r="AA111" s="6">
        <f t="shared" si="111"/>
        <v>20000</v>
      </c>
      <c r="AB111" s="6">
        <f t="shared" si="111"/>
        <v>20000</v>
      </c>
      <c r="AC111" s="6">
        <f t="shared" si="111"/>
        <v>20000</v>
      </c>
      <c r="AD111" s="6">
        <f t="shared" si="111"/>
        <v>20000</v>
      </c>
      <c r="AE111" s="6">
        <f t="shared" si="111"/>
        <v>20000</v>
      </c>
      <c r="AF111" s="6">
        <f t="shared" si="111"/>
        <v>20000</v>
      </c>
      <c r="AG111" s="6">
        <f t="shared" si="111"/>
        <v>20000</v>
      </c>
      <c r="AH111" s="6">
        <f t="shared" si="111"/>
        <v>20000</v>
      </c>
      <c r="AI111" s="6">
        <f t="shared" si="111"/>
        <v>20000</v>
      </c>
      <c r="AJ111" s="6">
        <f t="shared" si="111"/>
        <v>20000</v>
      </c>
      <c r="AK111" s="6">
        <f t="shared" si="111"/>
        <v>20000</v>
      </c>
      <c r="AL111" s="6">
        <f t="shared" si="111"/>
        <v>20000</v>
      </c>
      <c r="AM111" s="6">
        <f t="shared" si="111"/>
        <v>20000</v>
      </c>
      <c r="AN111" s="6">
        <f t="shared" si="111"/>
        <v>20000</v>
      </c>
      <c r="AO111" s="6">
        <f t="shared" si="111"/>
        <v>20000</v>
      </c>
    </row>
    <row r="112" spans="1:41">
      <c r="A112" s="98" t="s">
        <v>362</v>
      </c>
      <c r="B112" s="1"/>
      <c r="C112" s="341">
        <f>ROUND(G112+NPV(Assumptions!$B$4,H112:AO112),-3)</f>
        <v>9384000</v>
      </c>
      <c r="E112" s="6">
        <f>E111+E110</f>
        <v>0</v>
      </c>
      <c r="F112" s="6">
        <f t="shared" ref="F112:AO112" si="112">F111+F110</f>
        <v>0</v>
      </c>
      <c r="G112" s="6">
        <f t="shared" si="112"/>
        <v>-956000</v>
      </c>
      <c r="H112" s="6">
        <f t="shared" si="112"/>
        <v>-717000</v>
      </c>
      <c r="I112" s="6">
        <f t="shared" si="112"/>
        <v>-717000</v>
      </c>
      <c r="J112" s="6">
        <f t="shared" si="112"/>
        <v>8640000</v>
      </c>
      <c r="K112" s="6">
        <f t="shared" si="112"/>
        <v>5760000</v>
      </c>
      <c r="L112" s="6">
        <f t="shared" si="112"/>
        <v>20000</v>
      </c>
      <c r="M112" s="6">
        <f t="shared" si="112"/>
        <v>20000</v>
      </c>
      <c r="N112" s="6">
        <f t="shared" si="112"/>
        <v>20000</v>
      </c>
      <c r="O112" s="6">
        <f t="shared" si="112"/>
        <v>20000</v>
      </c>
      <c r="P112" s="6">
        <f t="shared" si="112"/>
        <v>20000</v>
      </c>
      <c r="Q112" s="6">
        <f t="shared" si="112"/>
        <v>20000</v>
      </c>
      <c r="R112" s="6">
        <f t="shared" si="112"/>
        <v>20000</v>
      </c>
      <c r="S112" s="6">
        <f t="shared" si="112"/>
        <v>20000</v>
      </c>
      <c r="T112" s="6">
        <f t="shared" si="112"/>
        <v>20000</v>
      </c>
      <c r="U112" s="6">
        <f t="shared" si="112"/>
        <v>20000</v>
      </c>
      <c r="V112" s="6">
        <f t="shared" si="112"/>
        <v>20000</v>
      </c>
      <c r="W112" s="6">
        <f t="shared" si="112"/>
        <v>20000</v>
      </c>
      <c r="X112" s="6">
        <f t="shared" si="112"/>
        <v>20000</v>
      </c>
      <c r="Y112" s="6">
        <f t="shared" si="112"/>
        <v>20000</v>
      </c>
      <c r="Z112" s="6">
        <f t="shared" si="112"/>
        <v>20000</v>
      </c>
      <c r="AA112" s="6">
        <f t="shared" si="112"/>
        <v>20000</v>
      </c>
      <c r="AB112" s="6">
        <f t="shared" si="112"/>
        <v>20000</v>
      </c>
      <c r="AC112" s="6">
        <f t="shared" si="112"/>
        <v>20000</v>
      </c>
      <c r="AD112" s="6">
        <f t="shared" si="112"/>
        <v>20000</v>
      </c>
      <c r="AE112" s="6">
        <f t="shared" si="112"/>
        <v>20000</v>
      </c>
      <c r="AF112" s="6">
        <f t="shared" si="112"/>
        <v>20000</v>
      </c>
      <c r="AG112" s="6">
        <f t="shared" si="112"/>
        <v>20000</v>
      </c>
      <c r="AH112" s="6">
        <f t="shared" si="112"/>
        <v>20000</v>
      </c>
      <c r="AI112" s="6">
        <f t="shared" si="112"/>
        <v>20000</v>
      </c>
      <c r="AJ112" s="6">
        <f t="shared" si="112"/>
        <v>20000</v>
      </c>
      <c r="AK112" s="6">
        <f t="shared" si="112"/>
        <v>20000</v>
      </c>
      <c r="AL112" s="6">
        <f t="shared" si="112"/>
        <v>20000</v>
      </c>
      <c r="AM112" s="6">
        <f t="shared" si="112"/>
        <v>20000</v>
      </c>
      <c r="AN112" s="6">
        <f t="shared" si="112"/>
        <v>20000</v>
      </c>
      <c r="AO112" s="6">
        <f t="shared" si="112"/>
        <v>20000</v>
      </c>
    </row>
    <row r="113" spans="1:41">
      <c r="A113" s="8"/>
      <c r="B113" s="1"/>
      <c r="C113" s="388"/>
    </row>
    <row r="114" spans="1:41">
      <c r="A114" s="8" t="s">
        <v>365</v>
      </c>
      <c r="B114" s="1"/>
      <c r="C114" s="341">
        <f>ROUND(G114+NPV(Assumptions!$B$4,H114:AO114),-3)</f>
        <v>981926000</v>
      </c>
      <c r="E114" s="46">
        <f>E107-E112</f>
        <v>0</v>
      </c>
      <c r="F114" s="46">
        <f t="shared" ref="F114:AO114" si="113">F107-F112</f>
        <v>0</v>
      </c>
      <c r="G114" s="46">
        <f t="shared" si="113"/>
        <v>956000</v>
      </c>
      <c r="H114" s="46">
        <f t="shared" si="113"/>
        <v>717000</v>
      </c>
      <c r="I114" s="46">
        <f t="shared" si="113"/>
        <v>717000</v>
      </c>
      <c r="J114" s="46">
        <f t="shared" si="113"/>
        <v>-8640000</v>
      </c>
      <c r="K114" s="46">
        <f t="shared" si="113"/>
        <v>-5760000</v>
      </c>
      <c r="L114" s="46">
        <f t="shared" si="113"/>
        <v>129484173.67553477</v>
      </c>
      <c r="M114" s="46">
        <f t="shared" si="113"/>
        <v>128201997.88782348</v>
      </c>
      <c r="N114" s="46">
        <f t="shared" si="113"/>
        <v>126400589.3427022</v>
      </c>
      <c r="O114" s="46">
        <f t="shared" si="113"/>
        <v>124436022.53807901</v>
      </c>
      <c r="P114" s="46">
        <f t="shared" si="113"/>
        <v>122300601.32304731</v>
      </c>
      <c r="Q114" s="46">
        <f t="shared" si="113"/>
        <v>119986317.49118958</v>
      </c>
      <c r="R114" s="46">
        <f t="shared" si="113"/>
        <v>117484839.45421979</v>
      </c>
      <c r="S114" s="46">
        <f t="shared" si="113"/>
        <v>114787500.58316413</v>
      </c>
      <c r="T114" s="46">
        <f t="shared" si="113"/>
        <v>111885287.21338044</v>
      </c>
      <c r="U114" s="46">
        <f t="shared" si="113"/>
        <v>108768826.31028557</v>
      </c>
      <c r="V114" s="46">
        <f t="shared" si="113"/>
        <v>105428372.79330198</v>
      </c>
      <c r="W114" s="46">
        <f t="shared" si="113"/>
        <v>101853796.51625812</v>
      </c>
      <c r="X114" s="46">
        <f t="shared" si="113"/>
        <v>98034568.903284311</v>
      </c>
      <c r="Y114" s="46">
        <f t="shared" si="113"/>
        <v>93959749.240153626</v>
      </c>
      <c r="Z114" s="46">
        <f t="shared" si="113"/>
        <v>89617970.622021452</v>
      </c>
      <c r="AA114" s="46">
        <f t="shared" si="113"/>
        <v>84997425.559637904</v>
      </c>
      <c r="AB114" s="46">
        <f t="shared" si="113"/>
        <v>80085851.247348547</v>
      </c>
      <c r="AC114" s="46">
        <f t="shared" si="113"/>
        <v>74870514.497567326</v>
      </c>
      <c r="AD114" s="46">
        <f t="shared" si="113"/>
        <v>69338196.347924009</v>
      </c>
      <c r="AE114" s="46">
        <f t="shared" si="113"/>
        <v>69338196.347924009</v>
      </c>
      <c r="AF114" s="46">
        <f t="shared" si="113"/>
        <v>69338196.347924009</v>
      </c>
      <c r="AG114" s="46">
        <f t="shared" si="113"/>
        <v>69338196.347924009</v>
      </c>
      <c r="AH114" s="46">
        <f t="shared" si="113"/>
        <v>69338196.347924009</v>
      </c>
      <c r="AI114" s="46">
        <f t="shared" si="113"/>
        <v>69338196.347924009</v>
      </c>
      <c r="AJ114" s="46">
        <f t="shared" si="113"/>
        <v>69338196.347924009</v>
      </c>
      <c r="AK114" s="46">
        <f t="shared" si="113"/>
        <v>69338196.347924009</v>
      </c>
      <c r="AL114" s="46">
        <f t="shared" si="113"/>
        <v>69338196.347924009</v>
      </c>
      <c r="AM114" s="46">
        <f t="shared" si="113"/>
        <v>69338196.347924009</v>
      </c>
      <c r="AN114" s="46">
        <f t="shared" si="113"/>
        <v>69338196.347924009</v>
      </c>
      <c r="AO114" s="46">
        <f t="shared" si="113"/>
        <v>74142196.347924009</v>
      </c>
    </row>
    <row r="115" spans="1:41">
      <c r="A115" s="8" t="s">
        <v>15</v>
      </c>
      <c r="B115" s="10"/>
      <c r="C115" s="389">
        <f>C114/C112</f>
        <v>104.63832054560955</v>
      </c>
    </row>
    <row r="117" spans="1:41">
      <c r="A117" s="8" t="s">
        <v>411</v>
      </c>
      <c r="C117" s="46"/>
      <c r="E117" s="46">
        <f>SUM($E$114:E114)</f>
        <v>0</v>
      </c>
      <c r="F117" s="46">
        <f>SUM($E$114:F114)</f>
        <v>0</v>
      </c>
      <c r="G117" s="46">
        <f>SUM($E$114:G114)</f>
        <v>956000</v>
      </c>
      <c r="H117" s="46">
        <f>SUM($E$114:H114)</f>
        <v>1673000</v>
      </c>
      <c r="I117" s="46">
        <f>SUM($E$114:I114)</f>
        <v>2390000</v>
      </c>
      <c r="J117" s="46">
        <f>SUM($E$114:J114)</f>
        <v>-6250000</v>
      </c>
      <c r="K117" s="46">
        <f>SUM($E$114:K114)</f>
        <v>-12010000</v>
      </c>
      <c r="L117" s="46">
        <f>SUM($E$114:L114)</f>
        <v>117474173.67553477</v>
      </c>
      <c r="M117" s="46">
        <f>SUM($E$114:M114)</f>
        <v>245676171.56335825</v>
      </c>
      <c r="N117" s="46">
        <f>SUM($E$114:N114)</f>
        <v>372076760.90606046</v>
      </c>
      <c r="O117" s="46">
        <f>SUM($E$114:O114)</f>
        <v>496512783.44413948</v>
      </c>
      <c r="P117" s="46">
        <f>SUM($E$114:P114)</f>
        <v>618813384.76718676</v>
      </c>
      <c r="Q117" s="46">
        <f>SUM($E$114:Q114)</f>
        <v>738799702.25837636</v>
      </c>
      <c r="R117" s="46">
        <f>SUM($E$114:R114)</f>
        <v>856284541.71259618</v>
      </c>
      <c r="S117" s="46">
        <f>SUM($E$114:S114)</f>
        <v>971072042.29576027</v>
      </c>
      <c r="T117" s="46">
        <f>SUM($E$114:T114)</f>
        <v>1082957329.5091407</v>
      </c>
      <c r="U117" s="46">
        <f>SUM($E$114:U114)</f>
        <v>1191726155.8194263</v>
      </c>
      <c r="V117" s="46">
        <f>SUM($E$114:V114)</f>
        <v>1297154528.6127284</v>
      </c>
      <c r="W117" s="46">
        <f>SUM($E$114:W114)</f>
        <v>1399008325.1289864</v>
      </c>
      <c r="X117" s="46">
        <f>SUM($E$114:X114)</f>
        <v>1497042894.0322707</v>
      </c>
      <c r="Y117" s="46">
        <f>SUM($E$114:Y114)</f>
        <v>1591002643.2724242</v>
      </c>
      <c r="Z117" s="46">
        <f>SUM($E$114:Z114)</f>
        <v>1680620613.8944457</v>
      </c>
      <c r="AA117" s="46">
        <f>SUM($E$114:AA114)</f>
        <v>1765618039.4540834</v>
      </c>
      <c r="AB117" s="46">
        <f>SUM($E$114:AB114)</f>
        <v>1845703890.701432</v>
      </c>
      <c r="AC117" s="46">
        <f>SUM($E$114:AC114)</f>
        <v>1920574405.1989994</v>
      </c>
      <c r="AD117" s="46">
        <f>SUM($E$114:AD114)</f>
        <v>1989912601.5469234</v>
      </c>
      <c r="AE117" s="46">
        <f>SUM($E$114:AE114)</f>
        <v>2059250797.8948474</v>
      </c>
      <c r="AF117" s="46">
        <f>SUM($E$114:AF114)</f>
        <v>2128588994.2427714</v>
      </c>
      <c r="AG117" s="46">
        <f>SUM($E$114:AG114)</f>
        <v>2197927190.5906954</v>
      </c>
      <c r="AH117" s="46">
        <f>SUM($E$114:AH114)</f>
        <v>2267265386.9386196</v>
      </c>
      <c r="AI117" s="46">
        <f>SUM($E$114:AI114)</f>
        <v>2336603583.2865438</v>
      </c>
      <c r="AJ117" s="46">
        <f>SUM($E$114:AJ114)</f>
        <v>2405941779.6344681</v>
      </c>
      <c r="AK117" s="46">
        <f>SUM($E$114:AK114)</f>
        <v>2475279975.9823923</v>
      </c>
      <c r="AL117" s="46">
        <f>SUM($E$114:AL114)</f>
        <v>2544618172.3303165</v>
      </c>
      <c r="AM117" s="46">
        <f>SUM($E$114:AM114)</f>
        <v>2613956368.6782408</v>
      </c>
      <c r="AN117" s="46">
        <f>SUM($E$114:AN114)</f>
        <v>2683294565.026165</v>
      </c>
    </row>
    <row r="118" spans="1:41">
      <c r="C118" s="6"/>
    </row>
    <row r="119" spans="1:41">
      <c r="C119" s="6"/>
    </row>
    <row r="120" spans="1:41" ht="20.399999999999999">
      <c r="F120" s="383"/>
      <c r="G120" s="384" t="s">
        <v>33</v>
      </c>
      <c r="H120" s="384" t="s">
        <v>353</v>
      </c>
      <c r="I120" s="384" t="s">
        <v>404</v>
      </c>
      <c r="J120" s="384" t="s">
        <v>314</v>
      </c>
      <c r="K120" s="384" t="s">
        <v>354</v>
      </c>
      <c r="L120" s="384" t="s">
        <v>394</v>
      </c>
      <c r="M120" s="384" t="s">
        <v>13</v>
      </c>
    </row>
    <row r="121" spans="1:41">
      <c r="F121" s="385">
        <v>2019</v>
      </c>
      <c r="G121" s="390">
        <f>$G$102</f>
        <v>0</v>
      </c>
      <c r="H121" s="390">
        <f>$G$103</f>
        <v>0</v>
      </c>
      <c r="I121" s="390">
        <f>$G$104</f>
        <v>0</v>
      </c>
      <c r="J121" s="390">
        <f>$G$105</f>
        <v>0</v>
      </c>
      <c r="K121" s="390">
        <f>$G$106</f>
        <v>0</v>
      </c>
      <c r="L121" s="390">
        <f>$G$110</f>
        <v>-956000</v>
      </c>
      <c r="M121" s="390">
        <f>$G$111</f>
        <v>0</v>
      </c>
    </row>
    <row r="122" spans="1:41" ht="14.4" hidden="1" customHeight="1">
      <c r="F122" s="385">
        <v>2020</v>
      </c>
      <c r="G122" s="390"/>
      <c r="H122" s="390"/>
      <c r="I122" s="390"/>
      <c r="J122" s="390"/>
      <c r="K122" s="390"/>
      <c r="L122" s="390"/>
      <c r="M122" s="390"/>
    </row>
    <row r="123" spans="1:41" s="27" customFormat="1" ht="14.4" hidden="1" customHeight="1">
      <c r="A123" s="27" t="s">
        <v>16</v>
      </c>
      <c r="F123" s="385">
        <v>2021</v>
      </c>
      <c r="G123" s="390"/>
      <c r="H123" s="390"/>
      <c r="I123" s="390"/>
      <c r="J123" s="390"/>
      <c r="K123" s="390"/>
      <c r="L123" s="390"/>
      <c r="M123" s="390"/>
      <c r="AO123" s="26"/>
    </row>
    <row r="124" spans="1:41" s="27" customFormat="1" ht="14.4" hidden="1" customHeight="1">
      <c r="A124" s="27" t="str">
        <f>A103</f>
        <v>Travel Time Savings</v>
      </c>
      <c r="C124" s="27" t="e">
        <f t="shared" ref="C124:C128" si="114">SUM(G124:AB124)</f>
        <v>#REF!</v>
      </c>
      <c r="F124" s="385">
        <v>2022</v>
      </c>
      <c r="G124" s="390"/>
      <c r="H124" s="390"/>
      <c r="I124" s="390"/>
      <c r="J124" s="390"/>
      <c r="K124" s="390"/>
      <c r="L124" s="390"/>
      <c r="M124" s="390"/>
      <c r="N124" s="27" t="e">
        <f>N103/(1+#REF!)^(N5-2016)</f>
        <v>#REF!</v>
      </c>
      <c r="O124" s="27" t="e">
        <f>O103/(1+#REF!)^(O5-2016)</f>
        <v>#REF!</v>
      </c>
      <c r="P124" s="27" t="e">
        <f>P103/(1+#REF!)^(P5-2016)</f>
        <v>#REF!</v>
      </c>
      <c r="Q124" s="27" t="e">
        <f>Q103/(1+#REF!)^(Q5-2016)</f>
        <v>#REF!</v>
      </c>
      <c r="R124" s="27" t="e">
        <f>R103/(1+#REF!)^(R5-2016)</f>
        <v>#REF!</v>
      </c>
      <c r="S124" s="27" t="e">
        <f>S103/(1+#REF!)^(S5-2016)</f>
        <v>#REF!</v>
      </c>
      <c r="T124" s="27" t="e">
        <f>T103/(1+#REF!)^(T5-2016)</f>
        <v>#REF!</v>
      </c>
      <c r="U124" s="27" t="e">
        <f>U103/(1+#REF!)^(U5-2016)</f>
        <v>#REF!</v>
      </c>
      <c r="V124" s="27" t="e">
        <f>V103/(1+#REF!)^(V5-2016)</f>
        <v>#REF!</v>
      </c>
      <c r="W124" s="27" t="e">
        <f>W103/(1+#REF!)^(W5-2016)</f>
        <v>#REF!</v>
      </c>
      <c r="X124" s="27" t="e">
        <f>X103/(1+#REF!)^(X5-2016)</f>
        <v>#REF!</v>
      </c>
      <c r="Y124" s="27" t="e">
        <f>Y103/(1+#REF!)^(Y5-2016)</f>
        <v>#REF!</v>
      </c>
      <c r="Z124" s="27" t="e">
        <f>Z103/(1+#REF!)^(Z5-2016)</f>
        <v>#REF!</v>
      </c>
      <c r="AA124" s="27" t="e">
        <f>AA103/(1+#REF!)^(AA5-2016)</f>
        <v>#REF!</v>
      </c>
      <c r="AB124" s="27" t="e">
        <f>AB103/(1+#REF!)^(AB5-2016)</f>
        <v>#REF!</v>
      </c>
      <c r="AC124" s="27" t="e">
        <f>AC103/(1+#REF!)^(AC5-2016)</f>
        <v>#REF!</v>
      </c>
      <c r="AD124" s="27" t="e">
        <f>AD103/(1+#REF!)^(AD5-2016)</f>
        <v>#REF!</v>
      </c>
      <c r="AO124" s="26"/>
    </row>
    <row r="125" spans="1:41" s="27" customFormat="1" ht="14.4" hidden="1" customHeight="1">
      <c r="A125" s="27" t="e">
        <f>#REF!</f>
        <v>#REF!</v>
      </c>
      <c r="C125" s="27" t="e">
        <f t="shared" si="114"/>
        <v>#REF!</v>
      </c>
      <c r="F125" s="385">
        <v>2023</v>
      </c>
      <c r="G125" s="390"/>
      <c r="H125" s="390"/>
      <c r="I125" s="390"/>
      <c r="J125" s="390"/>
      <c r="K125" s="390"/>
      <c r="L125" s="390"/>
      <c r="M125" s="390"/>
      <c r="N125" s="27" t="e">
        <f>#REF!/(1+#REF!)^(N$5-2016)</f>
        <v>#REF!</v>
      </c>
      <c r="O125" s="27" t="e">
        <f>#REF!/(1+#REF!)^(O$5-2016)</f>
        <v>#REF!</v>
      </c>
      <c r="P125" s="27" t="e">
        <f>#REF!/(1+#REF!)^(P$5-2016)</f>
        <v>#REF!</v>
      </c>
      <c r="Q125" s="27" t="e">
        <f>#REF!/(1+#REF!)^(Q$5-2016)</f>
        <v>#REF!</v>
      </c>
      <c r="R125" s="27" t="e">
        <f>#REF!/(1+#REF!)^(R$5-2016)</f>
        <v>#REF!</v>
      </c>
      <c r="S125" s="27" t="e">
        <f>#REF!/(1+#REF!)^(S$5-2016)</f>
        <v>#REF!</v>
      </c>
      <c r="T125" s="27" t="e">
        <f>#REF!/(1+#REF!)^(T$5-2016)</f>
        <v>#REF!</v>
      </c>
      <c r="U125" s="27" t="e">
        <f>#REF!/(1+#REF!)^(U$5-2016)</f>
        <v>#REF!</v>
      </c>
      <c r="V125" s="27" t="e">
        <f>#REF!/(1+#REF!)^(V$5-2016)</f>
        <v>#REF!</v>
      </c>
      <c r="W125" s="27" t="e">
        <f>#REF!/(1+#REF!)^(W$5-2016)</f>
        <v>#REF!</v>
      </c>
      <c r="X125" s="27" t="e">
        <f>#REF!/(1+#REF!)^(X$5-2016)</f>
        <v>#REF!</v>
      </c>
      <c r="Y125" s="27" t="e">
        <f>#REF!/(1+#REF!)^(Y$5-2016)</f>
        <v>#REF!</v>
      </c>
      <c r="Z125" s="27" t="e">
        <f>#REF!/(1+#REF!)^(Z$5-2016)</f>
        <v>#REF!</v>
      </c>
      <c r="AA125" s="27" t="e">
        <f>#REF!/(1+#REF!)^(AA$5-2016)</f>
        <v>#REF!</v>
      </c>
      <c r="AB125" s="27" t="e">
        <f>#REF!/(1+#REF!)^(AB$5-2016)</f>
        <v>#REF!</v>
      </c>
      <c r="AC125" s="27" t="e">
        <f>#REF!/(1+#REF!)^(AC$5-2016)</f>
        <v>#REF!</v>
      </c>
      <c r="AD125" s="27" t="e">
        <f>#REF!/(1+#REF!)^(AD$5-2016)</f>
        <v>#REF!</v>
      </c>
      <c r="AO125" s="26"/>
    </row>
    <row r="126" spans="1:41" s="27" customFormat="1" ht="14.4" hidden="1" customHeight="1">
      <c r="A126" s="27" t="str">
        <f>A104</f>
        <v>collision Cost Savings</v>
      </c>
      <c r="C126" s="27" t="e">
        <f t="shared" si="114"/>
        <v>#REF!</v>
      </c>
      <c r="F126" s="385">
        <v>2024</v>
      </c>
      <c r="G126" s="390"/>
      <c r="H126" s="390"/>
      <c r="I126" s="390"/>
      <c r="J126" s="390"/>
      <c r="K126" s="390"/>
      <c r="L126" s="390"/>
      <c r="M126" s="390"/>
      <c r="N126" s="27" t="e">
        <f>N104/(1+#REF!)^(N$5-2016)</f>
        <v>#REF!</v>
      </c>
      <c r="O126" s="27" t="e">
        <f>O104/(1+#REF!)^(O$5-2016)</f>
        <v>#REF!</v>
      </c>
      <c r="P126" s="27" t="e">
        <f>P104/(1+#REF!)^(P$5-2016)</f>
        <v>#REF!</v>
      </c>
      <c r="Q126" s="27" t="e">
        <f>Q104/(1+#REF!)^(Q$5-2016)</f>
        <v>#REF!</v>
      </c>
      <c r="R126" s="27" t="e">
        <f>R104/(1+#REF!)^(R$5-2016)</f>
        <v>#REF!</v>
      </c>
      <c r="S126" s="27" t="e">
        <f>S104/(1+#REF!)^(S$5-2016)</f>
        <v>#REF!</v>
      </c>
      <c r="T126" s="27" t="e">
        <f>T104/(1+#REF!)^(T$5-2016)</f>
        <v>#REF!</v>
      </c>
      <c r="U126" s="27" t="e">
        <f>U104/(1+#REF!)^(U$5-2016)</f>
        <v>#REF!</v>
      </c>
      <c r="V126" s="27" t="e">
        <f>V104/(1+#REF!)^(V$5-2016)</f>
        <v>#REF!</v>
      </c>
      <c r="W126" s="27" t="e">
        <f>W104/(1+#REF!)^(W$5-2016)</f>
        <v>#REF!</v>
      </c>
      <c r="X126" s="27" t="e">
        <f>X104/(1+#REF!)^(X$5-2016)</f>
        <v>#REF!</v>
      </c>
      <c r="Y126" s="27" t="e">
        <f>Y104/(1+#REF!)^(Y$5-2016)</f>
        <v>#REF!</v>
      </c>
      <c r="Z126" s="27" t="e">
        <f>Z104/(1+#REF!)^(Z$5-2016)</f>
        <v>#REF!</v>
      </c>
      <c r="AA126" s="27" t="e">
        <f>AA104/(1+#REF!)^(AA$5-2016)</f>
        <v>#REF!</v>
      </c>
      <c r="AB126" s="27" t="e">
        <f>AB104/(1+#REF!)^(AB$5-2016)</f>
        <v>#REF!</v>
      </c>
      <c r="AC126" s="27" t="e">
        <f>AC104/(1+#REF!)^(AC$5-2016)</f>
        <v>#REF!</v>
      </c>
      <c r="AD126" s="27" t="e">
        <f>AD104/(1+#REF!)^(AD$5-2016)</f>
        <v>#REF!</v>
      </c>
      <c r="AO126" s="26"/>
    </row>
    <row r="127" spans="1:41" s="27" customFormat="1" ht="14.4" hidden="1" customHeight="1">
      <c r="A127" s="27" t="s">
        <v>12</v>
      </c>
      <c r="C127" s="27">
        <f>SUM(G127:AL127)</f>
        <v>0</v>
      </c>
      <c r="F127" s="385">
        <v>2025</v>
      </c>
      <c r="G127" s="390"/>
      <c r="H127" s="390"/>
      <c r="I127" s="390"/>
      <c r="J127" s="390"/>
      <c r="K127" s="390"/>
      <c r="L127" s="390"/>
      <c r="M127" s="390"/>
      <c r="AO127" s="26"/>
    </row>
    <row r="128" spans="1:41" s="27" customFormat="1" ht="14.4" hidden="1" customHeight="1">
      <c r="A128" s="27" t="s">
        <v>13</v>
      </c>
      <c r="C128" s="27" t="e">
        <f t="shared" si="114"/>
        <v>#REF!</v>
      </c>
      <c r="F128" s="385">
        <v>2026</v>
      </c>
      <c r="G128" s="390"/>
      <c r="H128" s="390"/>
      <c r="I128" s="390"/>
      <c r="J128" s="390"/>
      <c r="K128" s="390"/>
      <c r="L128" s="390"/>
      <c r="M128" s="390"/>
      <c r="N128" s="27" t="e">
        <f>#REF!/(1+#REF!)^(N$5-2016)</f>
        <v>#REF!</v>
      </c>
      <c r="O128" s="27" t="e">
        <f>#REF!/(1+#REF!)^(O$5-2016)</f>
        <v>#REF!</v>
      </c>
      <c r="P128" s="27" t="e">
        <f>#REF!/(1+#REF!)^(P$5-2016)</f>
        <v>#REF!</v>
      </c>
      <c r="Q128" s="27" t="e">
        <f>#REF!/(1+#REF!)^(Q$5-2016)</f>
        <v>#REF!</v>
      </c>
      <c r="R128" s="27" t="e">
        <f>#REF!/(1+#REF!)^(R$5-2016)</f>
        <v>#REF!</v>
      </c>
      <c r="S128" s="27" t="e">
        <f>#REF!/(1+#REF!)^(S$5-2016)</f>
        <v>#REF!</v>
      </c>
      <c r="T128" s="27" t="e">
        <f>#REF!/(1+#REF!)^(T$5-2016)</f>
        <v>#REF!</v>
      </c>
      <c r="U128" s="27" t="e">
        <f>#REF!/(1+#REF!)^(U$5-2016)</f>
        <v>#REF!</v>
      </c>
      <c r="V128" s="27" t="e">
        <f>#REF!/(1+#REF!)^(V$5-2016)</f>
        <v>#REF!</v>
      </c>
      <c r="W128" s="27" t="e">
        <f>#REF!/(1+#REF!)^(W$5-2016)</f>
        <v>#REF!</v>
      </c>
      <c r="X128" s="27" t="e">
        <f>#REF!/(1+#REF!)^(X$5-2016)</f>
        <v>#REF!</v>
      </c>
      <c r="Y128" s="27" t="e">
        <f>#REF!/(1+#REF!)^(Y$5-2016)</f>
        <v>#REF!</v>
      </c>
      <c r="Z128" s="27" t="e">
        <f>#REF!/(1+#REF!)^(Z$5-2016)</f>
        <v>#REF!</v>
      </c>
      <c r="AA128" s="27" t="e">
        <f>#REF!/(1+#REF!)^(AA$5-2016)</f>
        <v>#REF!</v>
      </c>
      <c r="AB128" s="27" t="e">
        <f>#REF!/(1+#REF!)^(AB$5-2016)</f>
        <v>#REF!</v>
      </c>
      <c r="AC128" s="27" t="e">
        <f>#REF!/(1+#REF!)^(AC$5-2016)</f>
        <v>#REF!</v>
      </c>
      <c r="AD128" s="27" t="e">
        <f>#REF!/(1+#REF!)^(AD$5-2016)</f>
        <v>#REF!</v>
      </c>
      <c r="AO128" s="26"/>
    </row>
    <row r="129" spans="3:41" s="27" customFormat="1" ht="14.4" hidden="1" customHeight="1">
      <c r="F129" s="385">
        <v>2027</v>
      </c>
      <c r="G129" s="390"/>
      <c r="H129" s="390"/>
      <c r="I129" s="390"/>
      <c r="J129" s="390"/>
      <c r="K129" s="390"/>
      <c r="L129" s="390"/>
      <c r="M129" s="390"/>
      <c r="AO129" s="26"/>
    </row>
    <row r="130" spans="3:41" s="27" customFormat="1" ht="14.4" hidden="1" customHeight="1">
      <c r="C130" s="27" t="e">
        <f>SUM(C124:C126)-SUM(C127:C128)</f>
        <v>#REF!</v>
      </c>
      <c r="F130" s="385">
        <v>2028</v>
      </c>
      <c r="G130" s="390"/>
      <c r="H130" s="390"/>
      <c r="I130" s="390"/>
      <c r="J130" s="390"/>
      <c r="K130" s="390"/>
      <c r="L130" s="390"/>
      <c r="M130" s="390"/>
      <c r="AO130" s="26"/>
    </row>
    <row r="131" spans="3:41" s="27" customFormat="1" ht="14.4" hidden="1" customHeight="1">
      <c r="F131" s="385">
        <v>2029</v>
      </c>
      <c r="G131" s="390"/>
      <c r="H131" s="390"/>
      <c r="I131" s="390"/>
      <c r="J131" s="390"/>
      <c r="K131" s="390"/>
      <c r="L131" s="390"/>
      <c r="M131" s="390"/>
      <c r="AO131" s="26"/>
    </row>
    <row r="132" spans="3:41" s="27" customFormat="1" ht="14.4" hidden="1" customHeight="1">
      <c r="C132" s="38">
        <f>C127-C9</f>
        <v>-17489000</v>
      </c>
      <c r="F132" s="385">
        <v>2030</v>
      </c>
      <c r="G132" s="390"/>
      <c r="H132" s="390"/>
      <c r="I132" s="390"/>
      <c r="J132" s="390"/>
      <c r="K132" s="390"/>
      <c r="L132" s="390"/>
      <c r="M132" s="390"/>
      <c r="AO132" s="26"/>
    </row>
    <row r="133" spans="3:41">
      <c r="F133" s="385">
        <v>2020</v>
      </c>
      <c r="G133" s="390">
        <f>$H$102</f>
        <v>0</v>
      </c>
      <c r="H133" s="390">
        <f>$H$103</f>
        <v>0</v>
      </c>
      <c r="I133" s="390">
        <f>$H$104</f>
        <v>0</v>
      </c>
      <c r="J133" s="390">
        <f>$H$105</f>
        <v>0</v>
      </c>
      <c r="K133" s="390">
        <f>$H$106</f>
        <v>0</v>
      </c>
      <c r="L133" s="390">
        <f>$H$110</f>
        <v>-717000</v>
      </c>
      <c r="M133" s="390">
        <f>$H$111</f>
        <v>0</v>
      </c>
    </row>
    <row r="134" spans="3:41">
      <c r="F134" s="385">
        <v>2021</v>
      </c>
      <c r="G134" s="390">
        <f>$I$102</f>
        <v>0</v>
      </c>
      <c r="H134" s="390">
        <f>$I$103</f>
        <v>0</v>
      </c>
      <c r="I134" s="390">
        <f>$I$104</f>
        <v>0</v>
      </c>
      <c r="J134" s="390">
        <f>$I$105</f>
        <v>0</v>
      </c>
      <c r="K134" s="390">
        <f>$I$106</f>
        <v>0</v>
      </c>
      <c r="L134" s="390">
        <f>$I$110</f>
        <v>-717000</v>
      </c>
      <c r="M134" s="390">
        <f>$I$111</f>
        <v>0</v>
      </c>
    </row>
    <row r="135" spans="3:41">
      <c r="F135" s="385">
        <v>2022</v>
      </c>
      <c r="G135" s="390">
        <f>$J$102</f>
        <v>0</v>
      </c>
      <c r="H135" s="390">
        <f>$J$103</f>
        <v>0</v>
      </c>
      <c r="I135" s="390">
        <f>$J$104</f>
        <v>0</v>
      </c>
      <c r="J135" s="390">
        <f>$J$105</f>
        <v>0</v>
      </c>
      <c r="K135" s="390">
        <f>$J$106</f>
        <v>0</v>
      </c>
      <c r="L135" s="390">
        <f>$J$110</f>
        <v>8640000</v>
      </c>
      <c r="M135" s="390">
        <f>$J$111</f>
        <v>0</v>
      </c>
    </row>
    <row r="136" spans="3:41">
      <c r="F136" s="385">
        <v>2023</v>
      </c>
      <c r="G136" s="390">
        <f>$K$102</f>
        <v>0</v>
      </c>
      <c r="H136" s="390">
        <f>$K$103</f>
        <v>0</v>
      </c>
      <c r="I136" s="390">
        <f>$K$104</f>
        <v>0</v>
      </c>
      <c r="J136" s="390">
        <f>$K$105</f>
        <v>0</v>
      </c>
      <c r="K136" s="390">
        <f>$K$106</f>
        <v>0</v>
      </c>
      <c r="L136" s="390">
        <f>$K$110</f>
        <v>5760000</v>
      </c>
      <c r="M136" s="390">
        <f>$K$111</f>
        <v>0</v>
      </c>
    </row>
    <row r="137" spans="3:41">
      <c r="F137" s="385">
        <v>2024</v>
      </c>
      <c r="G137" s="390">
        <f>$L$102</f>
        <v>0</v>
      </c>
      <c r="H137" s="390">
        <f>$L$103</f>
        <v>110033783.37164994</v>
      </c>
      <c r="I137" s="390">
        <f>$L$104</f>
        <v>202770.94381457905</v>
      </c>
      <c r="J137" s="390">
        <f>$L$105</f>
        <v>19260633.05607529</v>
      </c>
      <c r="K137" s="390">
        <f>$L$106</f>
        <v>6986.3039949634112</v>
      </c>
      <c r="L137" s="390">
        <f>$L$110</f>
        <v>0</v>
      </c>
      <c r="M137" s="390">
        <f>$L$111</f>
        <v>20000</v>
      </c>
    </row>
    <row r="138" spans="3:41">
      <c r="F138" s="385">
        <v>2025</v>
      </c>
      <c r="G138" s="390">
        <f>$M$102</f>
        <v>0</v>
      </c>
      <c r="H138" s="390">
        <f>$M$103</f>
        <v>109047735.66253133</v>
      </c>
      <c r="I138" s="390">
        <f>$M$104</f>
        <v>193021.19811701443</v>
      </c>
      <c r="J138" s="390">
        <f>$M$105</f>
        <v>18974682.304868892</v>
      </c>
      <c r="K138" s="390">
        <f>$M$106</f>
        <v>6558.7223062383127</v>
      </c>
      <c r="L138" s="390">
        <f>$M$110</f>
        <v>0</v>
      </c>
      <c r="M138" s="390">
        <f>$M$111</f>
        <v>20000</v>
      </c>
    </row>
    <row r="139" spans="3:41">
      <c r="F139" s="385">
        <v>2026</v>
      </c>
      <c r="G139" s="390">
        <f>$N$102</f>
        <v>0</v>
      </c>
      <c r="H139" s="390">
        <f>$N$103</f>
        <v>107557707.24669895</v>
      </c>
      <c r="I139" s="390">
        <f>$N$104</f>
        <v>194332.03579209896</v>
      </c>
      <c r="J139" s="390">
        <f>$N$105</f>
        <v>18662392.750377305</v>
      </c>
      <c r="K139" s="390">
        <f>$N$106</f>
        <v>6157.3098338348209</v>
      </c>
      <c r="L139" s="390">
        <f>$N$110</f>
        <v>0</v>
      </c>
      <c r="M139" s="390">
        <f>$N$111</f>
        <v>20000</v>
      </c>
    </row>
    <row r="140" spans="3:41">
      <c r="F140" s="385">
        <v>2027</v>
      </c>
      <c r="G140" s="390">
        <f>$O$102</f>
        <v>0</v>
      </c>
      <c r="H140" s="390">
        <f>$O$103</f>
        <v>105932137.970645</v>
      </c>
      <c r="I140" s="390">
        <f>$O$104</f>
        <v>195651.77557445102</v>
      </c>
      <c r="J140" s="390">
        <f>$O$105</f>
        <v>18322452.326912336</v>
      </c>
      <c r="K140" s="390">
        <f>$O$106</f>
        <v>5780.4649472320452</v>
      </c>
      <c r="L140" s="390">
        <f>$O$110</f>
        <v>0</v>
      </c>
      <c r="M140" s="390">
        <f>$O$111</f>
        <v>20000</v>
      </c>
    </row>
    <row r="141" spans="3:41">
      <c r="F141" s="385">
        <v>2028</v>
      </c>
      <c r="G141" s="390">
        <f>$P$102</f>
        <v>0</v>
      </c>
      <c r="H141" s="390">
        <f>$P$103</f>
        <v>104164704.01269227</v>
      </c>
      <c r="I141" s="390">
        <f>$P$104</f>
        <v>196980.47791969776</v>
      </c>
      <c r="J141" s="390">
        <f>$P$105</f>
        <v>17953490.148395095</v>
      </c>
      <c r="K141" s="390">
        <f>$P$106</f>
        <v>5426.6840402552625</v>
      </c>
      <c r="L141" s="390">
        <f>$P$110</f>
        <v>0</v>
      </c>
      <c r="M141" s="390">
        <f>$P$111</f>
        <v>20000</v>
      </c>
    </row>
    <row r="142" spans="3:41">
      <c r="F142" s="385">
        <v>2029</v>
      </c>
      <c r="G142" s="390">
        <f>$Q$102</f>
        <v>0</v>
      </c>
      <c r="H142" s="390">
        <f>$Q$103</f>
        <v>102248830.78955245</v>
      </c>
      <c r="I142" s="390">
        <f>$Q$104</f>
        <v>198318.20369403029</v>
      </c>
      <c r="J142" s="390">
        <f>$Q$105</f>
        <v>17554073.942411397</v>
      </c>
      <c r="K142" s="390">
        <f>$Q$106</f>
        <v>5094.5555317072431</v>
      </c>
      <c r="L142" s="390">
        <f>$Q$110</f>
        <v>0</v>
      </c>
      <c r="M142" s="390">
        <f>$Q$111</f>
        <v>20000</v>
      </c>
    </row>
    <row r="143" spans="3:41">
      <c r="F143" s="385">
        <v>2030</v>
      </c>
      <c r="G143" s="390">
        <f>$R$102</f>
        <v>0</v>
      </c>
      <c r="H143" s="390">
        <f>$R$103</f>
        <v>100177684.31262149</v>
      </c>
      <c r="I143" s="390">
        <f>$R$104</f>
        <v>199665.01417699148</v>
      </c>
      <c r="J143" s="390">
        <f>$R$105</f>
        <v>17122707.373188123</v>
      </c>
      <c r="K143" s="390">
        <f>$R$106</f>
        <v>4782.7542331777513</v>
      </c>
      <c r="L143" s="390">
        <f>$R$110</f>
        <v>0</v>
      </c>
      <c r="M143" s="390">
        <f>$R$111</f>
        <v>20000</v>
      </c>
    </row>
    <row r="144" spans="3:41">
      <c r="F144" s="385">
        <v>2031</v>
      </c>
      <c r="G144" s="390">
        <f>$S$102</f>
        <v>0</v>
      </c>
      <c r="H144" s="390">
        <f>$S$103</f>
        <v>97944162.327345312</v>
      </c>
      <c r="I144" s="390">
        <f>$S$104</f>
        <v>201020.97106428348</v>
      </c>
      <c r="J144" s="390">
        <f>$S$105</f>
        <v>16657827.248692974</v>
      </c>
      <c r="K144" s="390">
        <f>$S$106</f>
        <v>4490.0360615589307</v>
      </c>
      <c r="L144" s="390">
        <f>$S$110</f>
        <v>0</v>
      </c>
      <c r="M144" s="390">
        <f>$S$111</f>
        <v>20000</v>
      </c>
    </row>
    <row r="145" spans="6:13">
      <c r="F145" s="385">
        <v>2032</v>
      </c>
      <c r="G145" s="390">
        <f>$T$102</f>
        <v>0</v>
      </c>
      <c r="H145" s="390">
        <f>$T$103</f>
        <v>95540885.236982435</v>
      </c>
      <c r="I145" s="390">
        <f>$T$104</f>
        <v>202386.13647059374</v>
      </c>
      <c r="J145" s="390">
        <f>$T$105</f>
        <v>16157800.606852237</v>
      </c>
      <c r="K145" s="390">
        <f>$T$106</f>
        <v>4215.2330751698464</v>
      </c>
      <c r="L145" s="390">
        <f>$T$110</f>
        <v>0</v>
      </c>
      <c r="M145" s="390">
        <f>$T$111</f>
        <v>20000</v>
      </c>
    </row>
    <row r="146" spans="6:13">
      <c r="F146" s="385">
        <v>2033</v>
      </c>
      <c r="G146" s="390">
        <f>$U$102</f>
        <v>0</v>
      </c>
      <c r="H146" s="390">
        <f>$U$103</f>
        <v>92960186.812873632</v>
      </c>
      <c r="I146" s="390">
        <f>$U$104</f>
        <v>203760.57293244041</v>
      </c>
      <c r="J146" s="390">
        <f>$U$105</f>
        <v>15620921.675665811</v>
      </c>
      <c r="K146" s="390">
        <f>$U$106</f>
        <v>3957.2488136847969</v>
      </c>
      <c r="L146" s="390">
        <f>$U$110</f>
        <v>0</v>
      </c>
      <c r="M146" s="390">
        <f>$U$111</f>
        <v>20000</v>
      </c>
    </row>
    <row r="147" spans="6:13">
      <c r="F147" s="385">
        <v>2034</v>
      </c>
      <c r="G147" s="390">
        <f>$V$102</f>
        <v>0</v>
      </c>
      <c r="H147" s="390">
        <f>$V$103</f>
        <v>90194104.694195092</v>
      </c>
      <c r="I147" s="390">
        <f>$V$104</f>
        <v>205144.34341103712</v>
      </c>
      <c r="J147" s="390">
        <f>$V$105</f>
        <v>15045408.701772586</v>
      </c>
      <c r="K147" s="390">
        <f>$V$106</f>
        <v>3715.0539232705487</v>
      </c>
      <c r="L147" s="390">
        <f>$V$110</f>
        <v>0</v>
      </c>
      <c r="M147" s="390">
        <f>$V$111</f>
        <v>20000</v>
      </c>
    </row>
    <row r="148" spans="6:13">
      <c r="F148" s="385">
        <v>2035</v>
      </c>
      <c r="G148" s="390">
        <f>$W$102</f>
        <v>0</v>
      </c>
      <c r="H148" s="390">
        <f>$W$103</f>
        <v>87234370.681128442</v>
      </c>
      <c r="I148" s="390">
        <f>$W$104</f>
        <v>206537.5112951771</v>
      </c>
      <c r="J148" s="390">
        <f>$W$105</f>
        <v>14429400.641785003</v>
      </c>
      <c r="K148" s="390">
        <f>$W$106</f>
        <v>3487.682049478346</v>
      </c>
      <c r="L148" s="390">
        <f>$W$110</f>
        <v>0</v>
      </c>
      <c r="M148" s="390">
        <f>$W$111</f>
        <v>20000</v>
      </c>
    </row>
    <row r="149" spans="6:13">
      <c r="F149" s="385">
        <v>2036</v>
      </c>
      <c r="G149" s="390">
        <f>$X$102</f>
        <v>0</v>
      </c>
      <c r="H149" s="390">
        <f>$X$103</f>
        <v>84072400.826432943</v>
      </c>
      <c r="I149" s="390">
        <f>$X$104</f>
        <v>207940.140404137</v>
      </c>
      <c r="J149" s="390">
        <f>$X$105</f>
        <v>13770953.710465726</v>
      </c>
      <c r="K149" s="390">
        <f>$X$106</f>
        <v>3274.2259815019788</v>
      </c>
      <c r="L149" s="390">
        <f>$X$110</f>
        <v>0</v>
      </c>
      <c r="M149" s="390">
        <f>$X$111</f>
        <v>20000</v>
      </c>
    </row>
    <row r="150" spans="6:13">
      <c r="F150" s="385">
        <v>2037</v>
      </c>
      <c r="G150" s="390">
        <f>$Y$102</f>
        <v>0</v>
      </c>
      <c r="H150" s="390">
        <f>$Y$103</f>
        <v>80699285.33156684</v>
      </c>
      <c r="I150" s="390">
        <f>$Y$104</f>
        <v>209352.29499060014</v>
      </c>
      <c r="J150" s="390">
        <f>$Y$105</f>
        <v>13068037.779563773</v>
      </c>
      <c r="K150" s="390">
        <f>$Y$106</f>
        <v>3073.8340324188466</v>
      </c>
      <c r="L150" s="390">
        <f>$Y$110</f>
        <v>0</v>
      </c>
      <c r="M150" s="390">
        <f>$Y$111</f>
        <v>20000</v>
      </c>
    </row>
    <row r="151" spans="6:13">
      <c r="F151" s="385">
        <v>2038</v>
      </c>
      <c r="G151" s="390">
        <f>$Z$102</f>
        <v>0</v>
      </c>
      <c r="H151" s="390">
        <f>$Z$103</f>
        <v>77105778.25477609</v>
      </c>
      <c r="I151" s="390">
        <f>$Z$104</f>
        <v>210774.0397436005</v>
      </c>
      <c r="J151" s="390">
        <f>$Z$105</f>
        <v>12318532.620860785</v>
      </c>
      <c r="K151" s="390">
        <f>$Z$106</f>
        <v>2885.7066409697873</v>
      </c>
      <c r="L151" s="390">
        <f>$Z$110</f>
        <v>0</v>
      </c>
      <c r="M151" s="390">
        <f>$Z$111</f>
        <v>20000</v>
      </c>
    </row>
    <row r="152" spans="6:13">
      <c r="F152" s="385">
        <v>2039</v>
      </c>
      <c r="G152" s="390">
        <f>$AA$102</f>
        <v>0</v>
      </c>
      <c r="H152" s="390">
        <f>$AA$103</f>
        <v>73282287.039965928</v>
      </c>
      <c r="I152" s="390">
        <f>$AA$104</f>
        <v>212205.43979148506</v>
      </c>
      <c r="J152" s="390">
        <f>$AA$105</f>
        <v>11520223.986699164</v>
      </c>
      <c r="K152" s="390">
        <f>$AA$106</f>
        <v>2709.0931813206407</v>
      </c>
      <c r="L152" s="390">
        <f>$AA$110</f>
        <v>0</v>
      </c>
      <c r="M152" s="390">
        <f>$AA$111</f>
        <v>20000</v>
      </c>
    </row>
    <row r="153" spans="6:13">
      <c r="F153" s="385">
        <v>2040</v>
      </c>
      <c r="G153" s="390">
        <f>$AB$102</f>
        <v>0</v>
      </c>
      <c r="H153" s="390">
        <f>$AB$103</f>
        <v>69218861.876701325</v>
      </c>
      <c r="I153" s="390">
        <f>$AB$104</f>
        <v>213646.56070489797</v>
      </c>
      <c r="J153" s="390">
        <f>$AB$105</f>
        <v>10670799.520974249</v>
      </c>
      <c r="K153" s="390">
        <f>$AB$106</f>
        <v>2543.2889680746011</v>
      </c>
      <c r="L153" s="390">
        <f>$AB$110</f>
        <v>0</v>
      </c>
      <c r="M153" s="390">
        <f>$AB$111</f>
        <v>20000</v>
      </c>
    </row>
    <row r="154" spans="6:13">
      <c r="F154" s="385">
        <v>2041</v>
      </c>
      <c r="G154" s="390">
        <f>$AC$102</f>
        <v>0</v>
      </c>
      <c r="H154" s="390">
        <f>$AC$103</f>
        <v>64905184.903354317</v>
      </c>
      <c r="I154" s="390">
        <f>$AC$104</f>
        <v>215097.46849978418</v>
      </c>
      <c r="J154" s="390">
        <f>$AC$105</f>
        <v>9767844.4932686239</v>
      </c>
      <c r="K154" s="390">
        <f>$AC$106</f>
        <v>2387.6324445867212</v>
      </c>
      <c r="L154" s="390">
        <f>$AC$110</f>
        <v>0</v>
      </c>
      <c r="M154" s="390">
        <f>$AC$111</f>
        <v>20000</v>
      </c>
    </row>
    <row r="155" spans="6:13">
      <c r="F155" s="385">
        <v>2042</v>
      </c>
      <c r="G155" s="390">
        <f>$AD$102</f>
        <v>0</v>
      </c>
      <c r="H155" s="390">
        <f>$AD$103</f>
        <v>60330559.267248064</v>
      </c>
      <c r="I155" s="390">
        <f>$AD$104</f>
        <v>216558.22964041325</v>
      </c>
      <c r="J155" s="390">
        <f>$AD$105</f>
        <v>8808837.3484921679</v>
      </c>
      <c r="K155" s="390">
        <f>$AD$106</f>
        <v>2241.5025433618575</v>
      </c>
      <c r="L155" s="390">
        <f>$AD$110</f>
        <v>0</v>
      </c>
      <c r="M155" s="390">
        <f>$AD$111</f>
        <v>20000</v>
      </c>
    </row>
    <row r="156" spans="6:13">
      <c r="F156" s="385">
        <v>2043</v>
      </c>
      <c r="G156" s="390">
        <f>$AE$102</f>
        <v>0</v>
      </c>
      <c r="H156" s="390">
        <f>$AE$103</f>
        <v>60330559.267248064</v>
      </c>
      <c r="I156" s="390">
        <f>$AE$104</f>
        <v>216558.22964041325</v>
      </c>
      <c r="J156" s="390">
        <f>$AE$105</f>
        <v>8808837.3484921679</v>
      </c>
      <c r="K156" s="390">
        <f>$AE$106</f>
        <v>2241.5025433617993</v>
      </c>
      <c r="L156" s="390">
        <f>$AE$110</f>
        <v>0</v>
      </c>
      <c r="M156" s="390">
        <f>$AE$111</f>
        <v>20000</v>
      </c>
    </row>
    <row r="157" spans="6:13">
      <c r="F157" s="385">
        <v>2044</v>
      </c>
      <c r="G157" s="390">
        <f>$AF$102</f>
        <v>0</v>
      </c>
      <c r="H157" s="390">
        <f>$AF$103</f>
        <v>60330559.267248064</v>
      </c>
      <c r="I157" s="390">
        <f>$AF$104</f>
        <v>216558.22964041325</v>
      </c>
      <c r="J157" s="390">
        <f>$AF$105</f>
        <v>8808837.3484921679</v>
      </c>
      <c r="K157" s="390">
        <f>$AF$106</f>
        <v>2241.5025433617993</v>
      </c>
      <c r="L157" s="390">
        <f>$AF$110</f>
        <v>0</v>
      </c>
      <c r="M157" s="390">
        <f>$AF$111</f>
        <v>20000</v>
      </c>
    </row>
    <row r="158" spans="6:13">
      <c r="F158" s="385">
        <v>2045</v>
      </c>
      <c r="G158" s="390">
        <f>$AG$102</f>
        <v>0</v>
      </c>
      <c r="H158" s="390">
        <f>$AG$103</f>
        <v>60330559.267248064</v>
      </c>
      <c r="I158" s="390">
        <f>$AG$104</f>
        <v>216558.22964041325</v>
      </c>
      <c r="J158" s="390">
        <f>$AG$105</f>
        <v>8808837.3484921679</v>
      </c>
      <c r="K158" s="390">
        <f>$AG$106</f>
        <v>2241.5025433617993</v>
      </c>
      <c r="L158" s="390">
        <f>$AG$110</f>
        <v>0</v>
      </c>
      <c r="M158" s="390">
        <f>$AG$111</f>
        <v>20000</v>
      </c>
    </row>
    <row r="159" spans="6:13">
      <c r="F159" s="385">
        <v>2046</v>
      </c>
      <c r="G159" s="390">
        <f>$AH$102</f>
        <v>0</v>
      </c>
      <c r="H159" s="390">
        <f>$AH$103</f>
        <v>60330559.267248064</v>
      </c>
      <c r="I159" s="390">
        <f>$AH$104</f>
        <v>216558.22964041325</v>
      </c>
      <c r="J159" s="390">
        <f>$AH$105</f>
        <v>8808837.3484921679</v>
      </c>
      <c r="K159" s="390">
        <f>$AH$106</f>
        <v>2241.5025433617993</v>
      </c>
      <c r="L159" s="390">
        <f>$AH$110</f>
        <v>0</v>
      </c>
      <c r="M159" s="390">
        <f>$AH$111</f>
        <v>20000</v>
      </c>
    </row>
    <row r="160" spans="6:13">
      <c r="F160" s="385">
        <v>2047</v>
      </c>
      <c r="G160" s="390">
        <f>$AI$102</f>
        <v>0</v>
      </c>
      <c r="H160" s="390">
        <f>$AI$103</f>
        <v>60330559.267248064</v>
      </c>
      <c r="I160" s="390">
        <f>$AI$104</f>
        <v>216558.22964041325</v>
      </c>
      <c r="J160" s="390">
        <f>$AI$105</f>
        <v>8808837.3484921679</v>
      </c>
      <c r="K160" s="390">
        <f>$AI$106</f>
        <v>2241.5025433617993</v>
      </c>
      <c r="L160" s="390">
        <f>$AI$110</f>
        <v>0</v>
      </c>
      <c r="M160" s="390">
        <f>$AI$111</f>
        <v>20000</v>
      </c>
    </row>
    <row r="161" spans="6:13">
      <c r="F161" s="385">
        <v>2048</v>
      </c>
      <c r="G161" s="390">
        <f>$AJ$102</f>
        <v>0</v>
      </c>
      <c r="H161" s="390">
        <f>$AJ$103</f>
        <v>60330559.267248064</v>
      </c>
      <c r="I161" s="390">
        <f>$AJ$104</f>
        <v>216558.22964041325</v>
      </c>
      <c r="J161" s="390">
        <f>$AJ$105</f>
        <v>8808837.3484921679</v>
      </c>
      <c r="K161" s="390">
        <f>$AJ$106</f>
        <v>2241.5025433617993</v>
      </c>
      <c r="L161" s="390">
        <f>$AJ$110</f>
        <v>0</v>
      </c>
      <c r="M161" s="390">
        <f>$AJ$111</f>
        <v>20000</v>
      </c>
    </row>
    <row r="162" spans="6:13">
      <c r="F162" s="385">
        <v>2049</v>
      </c>
      <c r="G162" s="390">
        <f>$AK$102</f>
        <v>0</v>
      </c>
      <c r="H162" s="390">
        <f>$AK$103</f>
        <v>60330559.267248064</v>
      </c>
      <c r="I162" s="390">
        <f>$AK$104</f>
        <v>216558.22964041325</v>
      </c>
      <c r="J162" s="390">
        <f>$AK$105</f>
        <v>8808837.3484921679</v>
      </c>
      <c r="K162" s="390">
        <f>$AK$106</f>
        <v>2241.5025433617993</v>
      </c>
      <c r="L162" s="390">
        <f>$AK$110</f>
        <v>0</v>
      </c>
      <c r="M162" s="390">
        <f>$AK$111</f>
        <v>20000</v>
      </c>
    </row>
    <row r="163" spans="6:13">
      <c r="F163" s="385">
        <v>2050</v>
      </c>
      <c r="G163" s="390">
        <f>$AL$102</f>
        <v>0</v>
      </c>
      <c r="H163" s="390">
        <f>$AL$103</f>
        <v>60330559.267248064</v>
      </c>
      <c r="I163" s="390">
        <f>$AL$104</f>
        <v>216558.22964041325</v>
      </c>
      <c r="J163" s="390">
        <f>$AL$105</f>
        <v>8808837.3484921679</v>
      </c>
      <c r="K163" s="390">
        <f>$AL$106</f>
        <v>2241.5025433617993</v>
      </c>
      <c r="L163" s="390">
        <f>$AL$110</f>
        <v>0</v>
      </c>
      <c r="M163" s="390">
        <f>$AL$111</f>
        <v>20000</v>
      </c>
    </row>
    <row r="164" spans="6:13">
      <c r="F164" s="385">
        <v>2051</v>
      </c>
      <c r="G164" s="390">
        <f>$AM$102</f>
        <v>0</v>
      </c>
      <c r="H164" s="390">
        <f>$AM$103</f>
        <v>60330559.267248064</v>
      </c>
      <c r="I164" s="390">
        <f>$AM$104</f>
        <v>216558.22964041325</v>
      </c>
      <c r="J164" s="390">
        <f>$AM$105</f>
        <v>8808837.3484921679</v>
      </c>
      <c r="K164" s="390">
        <f>$AM$106</f>
        <v>2241.5025433617993</v>
      </c>
      <c r="L164" s="390">
        <f>$AM$110</f>
        <v>0</v>
      </c>
      <c r="M164" s="390">
        <f>$AM$111</f>
        <v>20000</v>
      </c>
    </row>
    <row r="165" spans="6:13">
      <c r="F165" s="385">
        <v>2052</v>
      </c>
      <c r="G165" s="390">
        <f>$AN$102</f>
        <v>0</v>
      </c>
      <c r="H165" s="390">
        <f>$AN$103</f>
        <v>60330559.267248064</v>
      </c>
      <c r="I165" s="390">
        <f>$AN$104</f>
        <v>216558.22964041325</v>
      </c>
      <c r="J165" s="390">
        <f>$AN$105</f>
        <v>8808837.3484921679</v>
      </c>
      <c r="K165" s="390">
        <f>$AN$106</f>
        <v>2241.5025433617993</v>
      </c>
      <c r="L165" s="390">
        <f>$AN$110</f>
        <v>0</v>
      </c>
      <c r="M165" s="390">
        <f>$AN$111</f>
        <v>20000</v>
      </c>
    </row>
    <row r="166" spans="6:13">
      <c r="F166" s="385">
        <v>2053</v>
      </c>
      <c r="G166" s="390">
        <f>$AO$102</f>
        <v>4804000</v>
      </c>
      <c r="H166" s="390">
        <f>$AO$103</f>
        <v>60330559.267248064</v>
      </c>
      <c r="I166" s="390">
        <f>$AO$104</f>
        <v>216558.22964041325</v>
      </c>
      <c r="J166" s="390">
        <f>$AO$105</f>
        <v>8808837.3484921679</v>
      </c>
      <c r="K166" s="390">
        <f>$AO$106</f>
        <v>2241.5025433617993</v>
      </c>
      <c r="L166" s="390">
        <f>$AO$110</f>
        <v>0</v>
      </c>
      <c r="M166" s="390">
        <f>$AO$111</f>
        <v>20000</v>
      </c>
    </row>
  </sheetData>
  <mergeCells count="2">
    <mergeCell ref="G3:I3"/>
    <mergeCell ref="J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6EF03-2D52-4572-AD50-85F9A50AF31B}">
  <dimension ref="A1:J55"/>
  <sheetViews>
    <sheetView zoomScale="90" zoomScaleNormal="90" workbookViewId="0">
      <selection activeCell="E34" sqref="E34"/>
    </sheetView>
  </sheetViews>
  <sheetFormatPr defaultRowHeight="14.4"/>
  <cols>
    <col min="1" max="1" width="2.88671875" customWidth="1"/>
    <col min="2" max="2" width="16" customWidth="1"/>
    <col min="3" max="3" width="13.44140625" customWidth="1"/>
    <col min="4" max="4" width="6.6640625" customWidth="1"/>
    <col min="5" max="5" width="15.88671875" customWidth="1"/>
    <col min="6" max="6" width="11.6640625" customWidth="1"/>
    <col min="7" max="7" width="13.33203125" customWidth="1"/>
    <col min="8" max="8" width="13.6640625" customWidth="1"/>
  </cols>
  <sheetData>
    <row r="1" spans="1:6">
      <c r="A1" s="7" t="s">
        <v>395</v>
      </c>
    </row>
    <row r="2" spans="1:6" ht="15.6">
      <c r="A2" s="308" t="s">
        <v>393</v>
      </c>
    </row>
    <row r="4" spans="1:6">
      <c r="A4" s="391" t="s">
        <v>366</v>
      </c>
      <c r="B4" s="391"/>
      <c r="C4" s="391"/>
      <c r="D4" s="391"/>
      <c r="E4" s="391"/>
      <c r="F4" s="391"/>
    </row>
    <row r="5" spans="1:6">
      <c r="A5" t="s">
        <v>412</v>
      </c>
    </row>
    <row r="6" spans="1:6">
      <c r="B6" t="s">
        <v>367</v>
      </c>
    </row>
    <row r="7" spans="1:6">
      <c r="B7" t="s">
        <v>368</v>
      </c>
    </row>
    <row r="8" spans="1:6">
      <c r="B8" t="s">
        <v>369</v>
      </c>
    </row>
    <row r="9" spans="1:6">
      <c r="B9" t="s">
        <v>370</v>
      </c>
    </row>
    <row r="11" spans="1:6">
      <c r="A11" t="s">
        <v>371</v>
      </c>
    </row>
    <row r="12" spans="1:6">
      <c r="B12" t="s">
        <v>372</v>
      </c>
      <c r="C12" s="392">
        <v>1.02</v>
      </c>
    </row>
    <row r="13" spans="1:6">
      <c r="B13" t="s">
        <v>373</v>
      </c>
      <c r="C13" s="392">
        <v>3.17</v>
      </c>
    </row>
    <row r="14" spans="1:6">
      <c r="B14" t="s">
        <v>374</v>
      </c>
      <c r="C14" s="392">
        <v>9.5</v>
      </c>
    </row>
    <row r="15" spans="1:6">
      <c r="B15" t="s">
        <v>10</v>
      </c>
      <c r="C15" s="392">
        <v>22</v>
      </c>
    </row>
    <row r="16" spans="1:6">
      <c r="B16" t="s">
        <v>0</v>
      </c>
      <c r="C16" s="392">
        <f>SUM(C12:C15)</f>
        <v>35.69</v>
      </c>
    </row>
    <row r="18" spans="1:10">
      <c r="A18" s="391" t="s">
        <v>375</v>
      </c>
      <c r="B18" s="391"/>
      <c r="C18" s="391"/>
      <c r="D18" s="391"/>
      <c r="E18" s="391"/>
      <c r="F18" s="391"/>
      <c r="G18" s="391"/>
    </row>
    <row r="19" spans="1:10">
      <c r="B19" t="s">
        <v>376</v>
      </c>
    </row>
    <row r="20" spans="1:10">
      <c r="B20" t="s">
        <v>368</v>
      </c>
      <c r="G20" s="44"/>
    </row>
    <row r="21" spans="1:10">
      <c r="B21" t="s">
        <v>377</v>
      </c>
    </row>
    <row r="22" spans="1:10" ht="15" thickBot="1"/>
    <row r="23" spans="1:10" ht="15" thickTop="1">
      <c r="A23" t="s">
        <v>378</v>
      </c>
      <c r="E23" s="393" t="s">
        <v>379</v>
      </c>
      <c r="F23" s="394"/>
    </row>
    <row r="24" spans="1:10">
      <c r="B24" s="422" t="s">
        <v>380</v>
      </c>
      <c r="C24" s="422"/>
      <c r="E24" s="423" t="s">
        <v>381</v>
      </c>
      <c r="F24" s="424"/>
      <c r="G24" s="395"/>
      <c r="H24" s="395"/>
      <c r="I24" s="395"/>
      <c r="J24" s="395"/>
    </row>
    <row r="25" spans="1:10">
      <c r="B25" t="s">
        <v>372</v>
      </c>
      <c r="C25" s="392">
        <v>0.8</v>
      </c>
      <c r="E25" s="396" t="s">
        <v>372</v>
      </c>
      <c r="F25" s="397">
        <v>1.2</v>
      </c>
    </row>
    <row r="26" spans="1:10">
      <c r="B26" t="s">
        <v>373</v>
      </c>
      <c r="C26" s="392">
        <v>2.2000000000000002</v>
      </c>
      <c r="E26" s="396" t="s">
        <v>373</v>
      </c>
      <c r="F26" s="397">
        <v>3.3</v>
      </c>
    </row>
    <row r="27" spans="1:10">
      <c r="B27" t="s">
        <v>374</v>
      </c>
      <c r="C27" s="392">
        <v>1.8</v>
      </c>
      <c r="E27" s="396" t="s">
        <v>374</v>
      </c>
      <c r="F27" s="397">
        <v>2</v>
      </c>
    </row>
    <row r="28" spans="1:10">
      <c r="B28" t="s">
        <v>10</v>
      </c>
      <c r="C28" s="392">
        <v>17.899999999999999</v>
      </c>
      <c r="E28" s="396" t="s">
        <v>10</v>
      </c>
      <c r="F28" s="397">
        <v>18.5</v>
      </c>
    </row>
    <row r="29" spans="1:10">
      <c r="B29" t="s">
        <v>382</v>
      </c>
      <c r="C29" s="392"/>
      <c r="E29" s="396" t="s">
        <v>383</v>
      </c>
      <c r="F29" s="397"/>
    </row>
    <row r="30" spans="1:10" ht="15" thickBot="1">
      <c r="B30" t="s">
        <v>0</v>
      </c>
      <c r="C30" s="392">
        <f>SUM(C25:C29)</f>
        <v>22.7</v>
      </c>
      <c r="E30" s="398" t="s">
        <v>0</v>
      </c>
      <c r="F30" s="399">
        <f>SUM(F25:F29)</f>
        <v>25</v>
      </c>
    </row>
    <row r="31" spans="1:10" ht="15" thickTop="1"/>
    <row r="32" spans="1:10" ht="15" thickBot="1"/>
    <row r="33" spans="2:8" ht="15" thickTop="1">
      <c r="B33" s="400" t="s">
        <v>384</v>
      </c>
      <c r="C33" s="401"/>
      <c r="E33" t="s">
        <v>57</v>
      </c>
    </row>
    <row r="34" spans="2:8">
      <c r="B34" s="425" t="s">
        <v>385</v>
      </c>
      <c r="C34" s="426"/>
      <c r="E34" t="s">
        <v>386</v>
      </c>
      <c r="F34" s="402">
        <f>F30</f>
        <v>25</v>
      </c>
    </row>
    <row r="35" spans="2:8">
      <c r="B35" s="403" t="s">
        <v>372</v>
      </c>
      <c r="C35" s="404">
        <f>C25+F25</f>
        <v>2</v>
      </c>
      <c r="E35" t="s">
        <v>387</v>
      </c>
      <c r="F35" s="402">
        <f>C30</f>
        <v>22.7</v>
      </c>
      <c r="G35" s="44"/>
    </row>
    <row r="36" spans="2:8">
      <c r="B36" s="403" t="s">
        <v>373</v>
      </c>
      <c r="C36" s="404">
        <f>C26+F26</f>
        <v>5.5</v>
      </c>
      <c r="E36" t="s">
        <v>0</v>
      </c>
      <c r="F36" s="402">
        <f>F35+F34</f>
        <v>47.7</v>
      </c>
      <c r="G36" s="44"/>
    </row>
    <row r="37" spans="2:8">
      <c r="B37" s="403" t="s">
        <v>374</v>
      </c>
      <c r="C37" s="404">
        <f>C27+F27+F29</f>
        <v>3.8</v>
      </c>
      <c r="G37" s="44"/>
    </row>
    <row r="38" spans="2:8">
      <c r="B38" s="403" t="s">
        <v>10</v>
      </c>
      <c r="C38" s="404">
        <f>C28+F28</f>
        <v>36.4</v>
      </c>
      <c r="E38" t="s">
        <v>296</v>
      </c>
    </row>
    <row r="39" spans="2:8" ht="15" thickBot="1">
      <c r="B39" s="405" t="s">
        <v>0</v>
      </c>
      <c r="C39" s="406">
        <f>SUM(C35:C38)</f>
        <v>47.7</v>
      </c>
      <c r="E39" t="s">
        <v>388</v>
      </c>
      <c r="F39" s="402">
        <f>C16</f>
        <v>35.69</v>
      </c>
    </row>
    <row r="40" spans="2:8" ht="15" thickTop="1"/>
    <row r="41" spans="2:8">
      <c r="E41" s="408" t="s">
        <v>359</v>
      </c>
    </row>
    <row r="42" spans="2:8" ht="24.6">
      <c r="E42" s="409"/>
      <c r="F42" s="410" t="s">
        <v>392</v>
      </c>
    </row>
    <row r="43" spans="2:8">
      <c r="E43" s="407" t="s">
        <v>372</v>
      </c>
      <c r="F43" s="412">
        <f>C12*1000000</f>
        <v>1020000</v>
      </c>
    </row>
    <row r="44" spans="2:8">
      <c r="E44" s="407" t="s">
        <v>373</v>
      </c>
      <c r="F44" s="412">
        <f>C13*1000000</f>
        <v>3170000</v>
      </c>
    </row>
    <row r="45" spans="2:8">
      <c r="E45" s="407" t="s">
        <v>374</v>
      </c>
      <c r="F45" s="412">
        <f>C14*1000000</f>
        <v>9500000</v>
      </c>
    </row>
    <row r="46" spans="2:8">
      <c r="E46" s="407" t="s">
        <v>10</v>
      </c>
      <c r="F46" s="412">
        <f>C15*1000000</f>
        <v>22000000</v>
      </c>
    </row>
    <row r="47" spans="2:8">
      <c r="E47" s="407" t="s">
        <v>0</v>
      </c>
      <c r="F47" s="412">
        <f>SUM(F43:F46)</f>
        <v>35690000</v>
      </c>
    </row>
    <row r="48" spans="2:8">
      <c r="E48" s="407" t="s">
        <v>360</v>
      </c>
      <c r="F48" s="407"/>
      <c r="G48" s="408"/>
      <c r="H48" s="408"/>
    </row>
    <row r="49" spans="5:8" ht="24.6">
      <c r="E49" s="409"/>
      <c r="F49" s="410" t="s">
        <v>389</v>
      </c>
      <c r="G49" s="411" t="s">
        <v>390</v>
      </c>
      <c r="H49" s="411" t="s">
        <v>391</v>
      </c>
    </row>
    <row r="50" spans="5:8">
      <c r="E50" s="407" t="s">
        <v>372</v>
      </c>
      <c r="F50" s="412">
        <f>F25*1000000</f>
        <v>1200000</v>
      </c>
      <c r="G50" s="413">
        <f>C25*1000000</f>
        <v>800000</v>
      </c>
      <c r="H50" s="413">
        <f>G50+F50</f>
        <v>2000000</v>
      </c>
    </row>
    <row r="51" spans="5:8">
      <c r="E51" s="407" t="s">
        <v>373</v>
      </c>
      <c r="F51" s="412">
        <f>F26*1000000</f>
        <v>3300000</v>
      </c>
      <c r="G51" s="413">
        <f>C26*1000000</f>
        <v>2200000</v>
      </c>
      <c r="H51" s="413">
        <f t="shared" ref="H51:H53" si="0">G51+F51</f>
        <v>5500000</v>
      </c>
    </row>
    <row r="52" spans="5:8">
      <c r="E52" s="407" t="s">
        <v>374</v>
      </c>
      <c r="F52" s="412">
        <f>F27*1000000</f>
        <v>2000000</v>
      </c>
      <c r="G52" s="413">
        <f>C27*1000000</f>
        <v>1800000</v>
      </c>
      <c r="H52" s="413">
        <f t="shared" si="0"/>
        <v>3800000</v>
      </c>
    </row>
    <row r="53" spans="5:8">
      <c r="E53" s="407" t="s">
        <v>10</v>
      </c>
      <c r="F53" s="412">
        <f>F28*1000000</f>
        <v>18500000</v>
      </c>
      <c r="G53" s="413">
        <f>C28*1000000</f>
        <v>17900000</v>
      </c>
      <c r="H53" s="413">
        <f t="shared" si="0"/>
        <v>36400000</v>
      </c>
    </row>
    <row r="54" spans="5:8">
      <c r="E54" s="407" t="s">
        <v>0</v>
      </c>
      <c r="F54" s="412">
        <f>SUM(F50:F53)</f>
        <v>25000000</v>
      </c>
      <c r="G54" s="412">
        <f>SUM(G50:G53)</f>
        <v>22700000</v>
      </c>
      <c r="H54" s="412">
        <f>SUM(H50:H53)</f>
        <v>47700000</v>
      </c>
    </row>
    <row r="55" spans="5:8">
      <c r="E55" s="414"/>
    </row>
  </sheetData>
  <mergeCells count="3">
    <mergeCell ref="B24:C24"/>
    <mergeCell ref="E24:F24"/>
    <mergeCell ref="B34:C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28D93-E79B-467A-9086-0604BE5F0D55}">
  <sheetPr>
    <pageSetUpPr fitToPage="1"/>
  </sheetPr>
  <dimension ref="A1:R63"/>
  <sheetViews>
    <sheetView showGridLines="0" zoomScale="90" zoomScaleNormal="90" workbookViewId="0">
      <pane ySplit="9" topLeftCell="A10" activePane="bottomLeft" state="frozen"/>
      <selection pane="bottomLeft" activeCell="B16" sqref="B16"/>
    </sheetView>
  </sheetViews>
  <sheetFormatPr defaultRowHeight="14.4"/>
  <cols>
    <col min="1" max="1" width="41.6640625" customWidth="1"/>
    <col min="2" max="2" width="24.6640625" hidden="1" customWidth="1"/>
    <col min="3" max="3" width="9.109375" style="86"/>
    <col min="4" max="4" width="9.109375" style="87"/>
    <col min="5" max="5" width="9.109375" style="86"/>
    <col min="6" max="6" width="10.33203125" style="87" customWidth="1"/>
    <col min="7" max="7" width="14.44140625" customWidth="1"/>
    <col min="8" max="9" width="1.5546875" customWidth="1"/>
    <col min="10" max="10" width="13" hidden="1" customWidth="1"/>
    <col min="11" max="11" width="11.6640625" hidden="1" customWidth="1"/>
    <col min="12" max="12" width="10.6640625" hidden="1" customWidth="1"/>
    <col min="13" max="13" width="11.5546875" hidden="1" customWidth="1"/>
  </cols>
  <sheetData>
    <row r="1" spans="1:18">
      <c r="A1" s="7" t="s">
        <v>395</v>
      </c>
    </row>
    <row r="2" spans="1:18">
      <c r="A2" s="8" t="s">
        <v>110</v>
      </c>
    </row>
    <row r="3" spans="1:18">
      <c r="A3" s="8"/>
    </row>
    <row r="4" spans="1:18">
      <c r="A4" s="8" t="s">
        <v>162</v>
      </c>
      <c r="B4" s="12"/>
      <c r="C4" s="100"/>
      <c r="D4" s="270"/>
      <c r="E4" s="100"/>
      <c r="F4" s="270"/>
      <c r="G4" s="12"/>
    </row>
    <row r="5" spans="1:18">
      <c r="A5" s="269" t="s">
        <v>267</v>
      </c>
      <c r="B5" s="12"/>
      <c r="C5" s="271">
        <v>3</v>
      </c>
      <c r="D5" s="270"/>
      <c r="E5" s="100"/>
      <c r="F5" s="270"/>
      <c r="G5" s="12"/>
    </row>
    <row r="6" spans="1:18">
      <c r="A6" s="269" t="s">
        <v>268</v>
      </c>
      <c r="B6" s="12"/>
      <c r="C6" s="271">
        <v>6</v>
      </c>
      <c r="D6" s="270"/>
      <c r="E6" s="100"/>
      <c r="F6" s="270"/>
      <c r="G6" s="12"/>
    </row>
    <row r="7" spans="1:18" hidden="1">
      <c r="A7" s="269" t="s">
        <v>269</v>
      </c>
      <c r="B7" s="12"/>
      <c r="C7" s="271">
        <v>2</v>
      </c>
      <c r="D7" s="270"/>
      <c r="E7" s="100"/>
      <c r="F7" s="270"/>
      <c r="G7" s="12"/>
    </row>
    <row r="8" spans="1:18">
      <c r="A8" s="269" t="s">
        <v>163</v>
      </c>
      <c r="B8" s="12"/>
      <c r="C8" s="12">
        <v>255</v>
      </c>
      <c r="D8" s="270"/>
      <c r="E8" s="100"/>
      <c r="F8" s="270"/>
      <c r="G8" s="12"/>
    </row>
    <row r="9" spans="1:18" ht="35.25" customHeight="1">
      <c r="A9" s="12"/>
      <c r="B9" s="12"/>
      <c r="C9" s="427" t="s">
        <v>102</v>
      </c>
      <c r="D9" s="427"/>
      <c r="E9" s="427" t="s">
        <v>103</v>
      </c>
      <c r="F9" s="427"/>
      <c r="G9" s="67" t="s">
        <v>105</v>
      </c>
      <c r="J9" s="67" t="s">
        <v>217</v>
      </c>
      <c r="K9" s="67" t="s">
        <v>218</v>
      </c>
      <c r="L9" s="67" t="s">
        <v>219</v>
      </c>
      <c r="M9" s="67" t="s">
        <v>220</v>
      </c>
    </row>
    <row r="10" spans="1:18">
      <c r="A10" s="8" t="s">
        <v>265</v>
      </c>
      <c r="B10" s="12"/>
      <c r="C10" s="174" t="s">
        <v>85</v>
      </c>
      <c r="D10" s="85" t="s">
        <v>86</v>
      </c>
      <c r="E10" s="174" t="s">
        <v>85</v>
      </c>
      <c r="F10" s="85" t="s">
        <v>86</v>
      </c>
      <c r="G10" s="12"/>
    </row>
    <row r="11" spans="1:18">
      <c r="A11" s="102" t="s">
        <v>87</v>
      </c>
      <c r="B11" s="12" t="s">
        <v>88</v>
      </c>
      <c r="C11" s="100">
        <v>3358</v>
      </c>
      <c r="D11" s="270">
        <v>63.6</v>
      </c>
      <c r="E11" s="100">
        <v>3803</v>
      </c>
      <c r="F11" s="270">
        <v>30.1</v>
      </c>
      <c r="G11" s="89">
        <f t="shared" ref="G11:G19" si="0">((C11*D11)*$C$5+(E11*F11)*$C$6)*$C$8/360</f>
        <v>940332.47500000021</v>
      </c>
      <c r="J11" s="86" t="e">
        <f>#REF!</f>
        <v>#REF!</v>
      </c>
      <c r="K11" s="86" t="e">
        <f>#REF!</f>
        <v>#REF!</v>
      </c>
      <c r="L11" s="151">
        <v>2</v>
      </c>
      <c r="M11" s="86" t="e">
        <f t="shared" ref="M11:M19" si="1">SUM(D11,F11)/360*J11*$C$7</f>
        <v>#REF!</v>
      </c>
    </row>
    <row r="12" spans="1:18">
      <c r="A12" s="102" t="s">
        <v>89</v>
      </c>
      <c r="B12" s="12" t="s">
        <v>88</v>
      </c>
      <c r="C12" s="100">
        <v>3495</v>
      </c>
      <c r="D12" s="270">
        <v>26.9</v>
      </c>
      <c r="E12" s="100">
        <v>2994</v>
      </c>
      <c r="F12" s="270">
        <v>64.599999999999994</v>
      </c>
      <c r="G12" s="89">
        <f t="shared" si="0"/>
        <v>1021785.6375</v>
      </c>
      <c r="J12" s="86" t="e">
        <f>#REF!</f>
        <v>#REF!</v>
      </c>
      <c r="K12" s="86" t="e">
        <f>#REF!</f>
        <v>#REF!</v>
      </c>
      <c r="L12" s="151">
        <v>2</v>
      </c>
      <c r="M12" s="86" t="e">
        <f t="shared" si="1"/>
        <v>#REF!</v>
      </c>
      <c r="P12" s="86"/>
      <c r="Q12" s="86"/>
      <c r="R12" s="86"/>
    </row>
    <row r="13" spans="1:18">
      <c r="A13" s="286" t="s">
        <v>90</v>
      </c>
      <c r="B13" s="12" t="s">
        <v>88</v>
      </c>
      <c r="C13" s="100">
        <v>3348</v>
      </c>
      <c r="D13" s="270">
        <v>32.1</v>
      </c>
      <c r="E13" s="100">
        <v>3695</v>
      </c>
      <c r="F13" s="270">
        <v>33.5</v>
      </c>
      <c r="G13" s="89">
        <f t="shared" si="0"/>
        <v>754451.07499999995</v>
      </c>
      <c r="J13" s="86" t="e">
        <f>#REF!</f>
        <v>#REF!</v>
      </c>
      <c r="K13" s="86" t="e">
        <f>#REF!</f>
        <v>#REF!</v>
      </c>
      <c r="L13" s="151">
        <v>2</v>
      </c>
      <c r="M13" s="86" t="e">
        <f t="shared" si="1"/>
        <v>#REF!</v>
      </c>
    </row>
    <row r="14" spans="1:18">
      <c r="A14" s="286" t="s">
        <v>91</v>
      </c>
      <c r="B14" s="12" t="s">
        <v>88</v>
      </c>
      <c r="C14" s="100">
        <v>2475</v>
      </c>
      <c r="D14" s="270">
        <v>52.5</v>
      </c>
      <c r="E14" s="100">
        <v>2642</v>
      </c>
      <c r="F14" s="270">
        <v>15.7</v>
      </c>
      <c r="G14" s="89">
        <f t="shared" si="0"/>
        <v>452404.63750000001</v>
      </c>
      <c r="J14" s="86" t="e">
        <f>#REF!</f>
        <v>#REF!</v>
      </c>
      <c r="K14" s="86" t="e">
        <f>#REF!</f>
        <v>#REF!</v>
      </c>
      <c r="L14" s="151">
        <v>2</v>
      </c>
      <c r="M14" s="86" t="e">
        <f t="shared" si="1"/>
        <v>#REF!</v>
      </c>
    </row>
    <row r="15" spans="1:18">
      <c r="A15" s="286" t="s">
        <v>92</v>
      </c>
      <c r="B15" s="12" t="s">
        <v>88</v>
      </c>
      <c r="C15" s="100">
        <v>2711</v>
      </c>
      <c r="D15" s="270">
        <v>84.6</v>
      </c>
      <c r="E15" s="100">
        <v>2550</v>
      </c>
      <c r="F15" s="270">
        <v>21.1</v>
      </c>
      <c r="G15" s="89">
        <f t="shared" si="0"/>
        <v>716041.27499999991</v>
      </c>
      <c r="J15" s="86" t="e">
        <f>#REF!</f>
        <v>#REF!</v>
      </c>
      <c r="K15" s="86" t="e">
        <f>#REF!</f>
        <v>#REF!</v>
      </c>
      <c r="L15" s="151">
        <v>2</v>
      </c>
      <c r="M15" s="86" t="e">
        <f t="shared" si="1"/>
        <v>#REF!</v>
      </c>
    </row>
    <row r="16" spans="1:18" hidden="1">
      <c r="A16" s="286" t="s">
        <v>93</v>
      </c>
      <c r="B16" s="12" t="s">
        <v>94</v>
      </c>
      <c r="C16" s="100"/>
      <c r="D16" s="270">
        <v>0</v>
      </c>
      <c r="E16" s="100"/>
      <c r="F16" s="270">
        <v>0</v>
      </c>
      <c r="G16" s="89">
        <f t="shared" si="0"/>
        <v>0</v>
      </c>
      <c r="J16" s="86">
        <v>0</v>
      </c>
      <c r="K16" s="86">
        <v>0</v>
      </c>
      <c r="L16" s="151">
        <v>2</v>
      </c>
      <c r="M16" s="86">
        <f t="shared" si="1"/>
        <v>0</v>
      </c>
    </row>
    <row r="17" spans="1:13" hidden="1">
      <c r="A17" s="286" t="s">
        <v>95</v>
      </c>
      <c r="B17" s="12" t="s">
        <v>96</v>
      </c>
      <c r="C17" s="100"/>
      <c r="D17" s="270">
        <v>0</v>
      </c>
      <c r="E17" s="100"/>
      <c r="F17" s="270">
        <v>0</v>
      </c>
      <c r="G17" s="89">
        <f t="shared" si="0"/>
        <v>0</v>
      </c>
      <c r="J17" s="86">
        <v>0</v>
      </c>
      <c r="K17" s="86">
        <v>0</v>
      </c>
      <c r="L17" s="151">
        <v>2</v>
      </c>
      <c r="M17" s="86">
        <f t="shared" si="1"/>
        <v>0</v>
      </c>
    </row>
    <row r="18" spans="1:13">
      <c r="A18" s="286" t="s">
        <v>97</v>
      </c>
      <c r="B18" s="12" t="s">
        <v>98</v>
      </c>
      <c r="C18" s="272">
        <v>1208</v>
      </c>
      <c r="D18" s="273">
        <v>34.200000000000003</v>
      </c>
      <c r="E18" s="272">
        <v>1555</v>
      </c>
      <c r="F18" s="273">
        <v>478.7</v>
      </c>
      <c r="G18" s="89">
        <f t="shared" si="0"/>
        <v>3251400.0249999999</v>
      </c>
      <c r="J18" s="86" t="e">
        <f>#REF!</f>
        <v>#REF!</v>
      </c>
      <c r="K18" s="86" t="e">
        <f>#REF!</f>
        <v>#REF!</v>
      </c>
      <c r="L18" s="151">
        <v>2</v>
      </c>
      <c r="M18" s="86" t="e">
        <f t="shared" si="1"/>
        <v>#REF!</v>
      </c>
    </row>
    <row r="19" spans="1:13">
      <c r="A19" s="102" t="s">
        <v>99</v>
      </c>
      <c r="B19" s="12" t="s">
        <v>100</v>
      </c>
      <c r="C19" s="272">
        <v>1307</v>
      </c>
      <c r="D19" s="273">
        <v>18.399999999999999</v>
      </c>
      <c r="E19" s="272">
        <v>1452</v>
      </c>
      <c r="F19" s="273">
        <v>6.8</v>
      </c>
      <c r="G19" s="228">
        <f t="shared" si="0"/>
        <v>93066.5</v>
      </c>
      <c r="J19" s="86" t="e">
        <f>#REF!</f>
        <v>#REF!</v>
      </c>
      <c r="K19" s="86" t="e">
        <f>#REF!</f>
        <v>#REF!</v>
      </c>
      <c r="L19" s="151">
        <v>2</v>
      </c>
      <c r="M19" s="196" t="e">
        <f t="shared" si="1"/>
        <v>#REF!</v>
      </c>
    </row>
    <row r="20" spans="1:13">
      <c r="A20" s="8" t="s">
        <v>259</v>
      </c>
      <c r="B20" s="12"/>
      <c r="C20" s="100"/>
      <c r="D20" s="270"/>
      <c r="E20" s="100"/>
      <c r="F20" s="100"/>
      <c r="G20" s="89">
        <f>SUM(G11:G19)</f>
        <v>7229481.625</v>
      </c>
      <c r="J20" s="8" t="s">
        <v>221</v>
      </c>
      <c r="M20" s="89" t="e">
        <f>SUM(M11:M19)</f>
        <v>#REF!</v>
      </c>
    </row>
    <row r="21" spans="1:13">
      <c r="A21" s="8" t="s">
        <v>266</v>
      </c>
      <c r="B21" s="12"/>
      <c r="C21" s="174"/>
      <c r="D21" s="85"/>
      <c r="E21" s="174"/>
      <c r="F21" s="85"/>
      <c r="G21" s="12"/>
      <c r="J21" s="86"/>
    </row>
    <row r="22" spans="1:13">
      <c r="A22" s="102" t="s">
        <v>87</v>
      </c>
      <c r="B22" s="12" t="s">
        <v>88</v>
      </c>
      <c r="C22" s="100">
        <v>4120</v>
      </c>
      <c r="D22" s="270">
        <v>107.1</v>
      </c>
      <c r="E22" s="100">
        <v>4628</v>
      </c>
      <c r="F22" s="270">
        <v>28.3</v>
      </c>
      <c r="G22" s="89">
        <f t="shared" ref="G22:G30" si="2">((C22*D22)*$C$5+(E22*F22)*$C$6)*$C$8/360</f>
        <v>1494293.2</v>
      </c>
      <c r="J22" s="86" t="e">
        <f>#REF!</f>
        <v>#REF!</v>
      </c>
      <c r="K22" s="86" t="e">
        <f>#REF!</f>
        <v>#REF!</v>
      </c>
      <c r="L22" s="151">
        <v>2</v>
      </c>
      <c r="M22" s="86" t="e">
        <f t="shared" ref="M22:M30" si="3">SUM(D22,F22)/360*J22*$C$7</f>
        <v>#REF!</v>
      </c>
    </row>
    <row r="23" spans="1:13">
      <c r="A23" s="102" t="s">
        <v>89</v>
      </c>
      <c r="B23" s="12" t="s">
        <v>88</v>
      </c>
      <c r="C23" s="100">
        <v>4171</v>
      </c>
      <c r="D23" s="270">
        <v>68.5</v>
      </c>
      <c r="E23" s="100">
        <v>3713</v>
      </c>
      <c r="F23" s="270">
        <v>85.3</v>
      </c>
      <c r="G23" s="89">
        <f t="shared" si="2"/>
        <v>1953196.5125</v>
      </c>
      <c r="J23" s="86" t="e">
        <f>#REF!</f>
        <v>#REF!</v>
      </c>
      <c r="K23" s="86" t="e">
        <f>#REF!</f>
        <v>#REF!</v>
      </c>
      <c r="L23" s="151">
        <v>2</v>
      </c>
      <c r="M23" s="86" t="e">
        <f t="shared" si="3"/>
        <v>#REF!</v>
      </c>
    </row>
    <row r="24" spans="1:13">
      <c r="A24" s="286" t="s">
        <v>90</v>
      </c>
      <c r="B24" s="12" t="s">
        <v>88</v>
      </c>
      <c r="C24" s="100">
        <v>3450</v>
      </c>
      <c r="D24" s="270">
        <v>37.6</v>
      </c>
      <c r="E24" s="100">
        <v>4839</v>
      </c>
      <c r="F24" s="270">
        <v>48.6</v>
      </c>
      <c r="G24" s="89">
        <f t="shared" si="2"/>
        <v>1275150.45</v>
      </c>
      <c r="J24" s="86" t="e">
        <f>#REF!</f>
        <v>#REF!</v>
      </c>
      <c r="K24" s="86" t="e">
        <f>#REF!</f>
        <v>#REF!</v>
      </c>
      <c r="L24" s="151">
        <v>2</v>
      </c>
      <c r="M24" s="86" t="e">
        <f t="shared" si="3"/>
        <v>#REF!</v>
      </c>
    </row>
    <row r="25" spans="1:13">
      <c r="A25" s="286" t="s">
        <v>91</v>
      </c>
      <c r="B25" s="12" t="s">
        <v>88</v>
      </c>
      <c r="C25" s="100">
        <v>2742</v>
      </c>
      <c r="D25" s="270">
        <v>94.3</v>
      </c>
      <c r="E25" s="100">
        <v>2886</v>
      </c>
      <c r="F25" s="270">
        <v>18.899999999999999</v>
      </c>
      <c r="G25" s="89">
        <f t="shared" si="2"/>
        <v>781280.47499999998</v>
      </c>
      <c r="J25" s="86" t="e">
        <f>#REF!</f>
        <v>#REF!</v>
      </c>
      <c r="K25" s="86" t="e">
        <f>#REF!</f>
        <v>#REF!</v>
      </c>
      <c r="L25" s="151">
        <v>2</v>
      </c>
      <c r="M25" s="86" t="e">
        <f t="shared" si="3"/>
        <v>#REF!</v>
      </c>
    </row>
    <row r="26" spans="1:13">
      <c r="A26" s="286" t="s">
        <v>92</v>
      </c>
      <c r="B26" s="12" t="s">
        <v>88</v>
      </c>
      <c r="C26" s="100">
        <v>3212</v>
      </c>
      <c r="D26" s="270">
        <v>111.4</v>
      </c>
      <c r="E26" s="100">
        <v>3057</v>
      </c>
      <c r="F26" s="270">
        <v>26.5</v>
      </c>
      <c r="G26" s="89">
        <f t="shared" si="2"/>
        <v>1104655.3250000002</v>
      </c>
      <c r="J26" s="86" t="e">
        <f>#REF!</f>
        <v>#REF!</v>
      </c>
      <c r="K26" s="86" t="e">
        <f>#REF!</f>
        <v>#REF!</v>
      </c>
      <c r="L26" s="151">
        <v>2</v>
      </c>
      <c r="M26" s="86" t="e">
        <f t="shared" si="3"/>
        <v>#REF!</v>
      </c>
    </row>
    <row r="27" spans="1:13" hidden="1">
      <c r="A27" s="286" t="s">
        <v>93</v>
      </c>
      <c r="B27" s="12" t="s">
        <v>94</v>
      </c>
      <c r="C27" s="100">
        <v>0</v>
      </c>
      <c r="D27" s="270">
        <v>0</v>
      </c>
      <c r="E27" s="100"/>
      <c r="F27" s="270">
        <v>0</v>
      </c>
      <c r="G27" s="89">
        <f t="shared" si="2"/>
        <v>0</v>
      </c>
      <c r="J27" s="86">
        <v>0</v>
      </c>
      <c r="K27" s="86">
        <v>0</v>
      </c>
      <c r="L27" s="151">
        <v>2</v>
      </c>
      <c r="M27" s="86">
        <f t="shared" si="3"/>
        <v>0</v>
      </c>
    </row>
    <row r="28" spans="1:13" hidden="1">
      <c r="A28" s="286" t="s">
        <v>95</v>
      </c>
      <c r="B28" s="12" t="s">
        <v>96</v>
      </c>
      <c r="C28" s="100">
        <v>0</v>
      </c>
      <c r="D28" s="270">
        <v>0</v>
      </c>
      <c r="E28" s="100"/>
      <c r="F28" s="270">
        <v>0</v>
      </c>
      <c r="G28" s="89">
        <f t="shared" si="2"/>
        <v>0</v>
      </c>
      <c r="I28" s="20"/>
      <c r="J28" s="86">
        <v>0</v>
      </c>
      <c r="K28" s="86">
        <v>0</v>
      </c>
      <c r="L28" s="151">
        <v>2</v>
      </c>
      <c r="M28" s="86">
        <f t="shared" si="3"/>
        <v>0</v>
      </c>
    </row>
    <row r="29" spans="1:13">
      <c r="A29" s="286" t="s">
        <v>97</v>
      </c>
      <c r="B29" s="12" t="s">
        <v>98</v>
      </c>
      <c r="C29" s="100">
        <v>1410</v>
      </c>
      <c r="D29" s="273">
        <v>43.7</v>
      </c>
      <c r="E29" s="272">
        <v>1712</v>
      </c>
      <c r="F29" s="273">
        <v>378.9</v>
      </c>
      <c r="G29" s="89">
        <f t="shared" si="2"/>
        <v>2887812.5249999999</v>
      </c>
      <c r="J29" s="86" t="e">
        <f>#REF!</f>
        <v>#REF!</v>
      </c>
      <c r="K29" s="86" t="e">
        <f>#REF!</f>
        <v>#REF!</v>
      </c>
      <c r="L29" s="151">
        <v>2</v>
      </c>
      <c r="M29" s="86" t="e">
        <f t="shared" si="3"/>
        <v>#REF!</v>
      </c>
    </row>
    <row r="30" spans="1:13">
      <c r="A30" s="102" t="s">
        <v>99</v>
      </c>
      <c r="B30" s="12" t="s">
        <v>100</v>
      </c>
      <c r="C30" s="100">
        <v>1840</v>
      </c>
      <c r="D30" s="273">
        <v>63.8</v>
      </c>
      <c r="E30" s="272">
        <v>1847</v>
      </c>
      <c r="F30" s="273">
        <v>15.8</v>
      </c>
      <c r="G30" s="228">
        <f t="shared" si="2"/>
        <v>373484.05</v>
      </c>
      <c r="J30" s="86" t="e">
        <f>#REF!</f>
        <v>#REF!</v>
      </c>
      <c r="K30" s="86" t="e">
        <f>#REF!</f>
        <v>#REF!</v>
      </c>
      <c r="L30" s="151">
        <v>2</v>
      </c>
      <c r="M30" s="196" t="e">
        <f t="shared" si="3"/>
        <v>#REF!</v>
      </c>
    </row>
    <row r="31" spans="1:13">
      <c r="A31" s="8" t="s">
        <v>259</v>
      </c>
      <c r="B31" s="12"/>
      <c r="C31" s="100"/>
      <c r="D31" s="270"/>
      <c r="E31" s="100"/>
      <c r="F31" s="270"/>
      <c r="G31" s="89">
        <f>SUM(G22:G30)</f>
        <v>9869872.5374999996</v>
      </c>
      <c r="J31" s="8" t="s">
        <v>221</v>
      </c>
      <c r="M31" s="89" t="e">
        <f>SUM(M22:M30)</f>
        <v>#REF!</v>
      </c>
    </row>
    <row r="32" spans="1:13">
      <c r="A32" s="8" t="s">
        <v>264</v>
      </c>
      <c r="B32" s="12"/>
      <c r="C32" s="174"/>
      <c r="D32" s="85"/>
      <c r="E32" s="174"/>
      <c r="F32" s="85"/>
      <c r="G32" s="12"/>
      <c r="J32" s="86"/>
    </row>
    <row r="33" spans="1:17">
      <c r="A33" s="102" t="s">
        <v>333</v>
      </c>
      <c r="B33" s="12"/>
      <c r="C33" s="100">
        <v>3676</v>
      </c>
      <c r="D33" s="270">
        <v>9.7048694232861781</v>
      </c>
      <c r="E33" s="100">
        <v>4111</v>
      </c>
      <c r="F33" s="270">
        <v>9.3729506202870336</v>
      </c>
      <c r="G33" s="89">
        <f t="shared" ref="G33:G41" si="4">((C33*D33)*$C$5+(E33*F33)*$C$6)*$C$8/360</f>
        <v>239571.43749999997</v>
      </c>
      <c r="J33" s="86" t="e">
        <f>#REF!</f>
        <v>#REF!</v>
      </c>
      <c r="K33" s="86" t="e">
        <f>#REF!</f>
        <v>#REF!</v>
      </c>
      <c r="L33" s="151">
        <v>2</v>
      </c>
      <c r="M33" s="86" t="e">
        <f t="shared" ref="M33:M41" si="5">SUM(D33,F33)/360*J33*$C$7</f>
        <v>#REF!</v>
      </c>
      <c r="N33" t="s">
        <v>270</v>
      </c>
      <c r="Q33" s="86"/>
    </row>
    <row r="34" spans="1:17">
      <c r="A34" s="102" t="s">
        <v>334</v>
      </c>
      <c r="B34" s="274"/>
      <c r="C34" s="100">
        <v>3742</v>
      </c>
      <c r="D34" s="270">
        <v>8.4795029396044885</v>
      </c>
      <c r="E34" s="100">
        <v>3290</v>
      </c>
      <c r="F34" s="270">
        <v>10.264072948328268</v>
      </c>
      <c r="G34" s="89">
        <f t="shared" si="4"/>
        <v>210944.28750000001</v>
      </c>
      <c r="J34" s="86" t="e">
        <f>#REF!</f>
        <v>#REF!</v>
      </c>
      <c r="K34" s="86" t="e">
        <f>#REF!</f>
        <v>#REF!</v>
      </c>
      <c r="L34" s="151">
        <v>2</v>
      </c>
      <c r="M34" s="86" t="e">
        <f t="shared" si="5"/>
        <v>#REF!</v>
      </c>
      <c r="N34" t="s">
        <v>270</v>
      </c>
    </row>
    <row r="35" spans="1:17">
      <c r="A35" s="286" t="s">
        <v>90</v>
      </c>
      <c r="B35" s="287" t="s">
        <v>88</v>
      </c>
      <c r="C35" s="264">
        <v>3349</v>
      </c>
      <c r="D35" s="265">
        <v>22.4</v>
      </c>
      <c r="E35" s="264">
        <v>4216</v>
      </c>
      <c r="F35" s="265">
        <v>31.1</v>
      </c>
      <c r="G35" s="89">
        <f t="shared" si="4"/>
        <v>716662.20000000007</v>
      </c>
      <c r="J35" s="86" t="e">
        <f>#REF!</f>
        <v>#REF!</v>
      </c>
      <c r="K35" s="86" t="e">
        <f>#REF!</f>
        <v>#REF!</v>
      </c>
      <c r="L35" s="151">
        <v>2</v>
      </c>
      <c r="M35" s="86" t="e">
        <f t="shared" si="5"/>
        <v>#REF!</v>
      </c>
      <c r="N35" t="s">
        <v>271</v>
      </c>
    </row>
    <row r="36" spans="1:17">
      <c r="A36" s="286" t="s">
        <v>91</v>
      </c>
      <c r="B36" s="287" t="s">
        <v>88</v>
      </c>
      <c r="C36" s="264">
        <v>2557</v>
      </c>
      <c r="D36" s="265">
        <v>23.3</v>
      </c>
      <c r="E36" s="264">
        <v>2733</v>
      </c>
      <c r="F36" s="265">
        <v>18.2</v>
      </c>
      <c r="G36" s="89">
        <f t="shared" si="4"/>
        <v>338001.01249999995</v>
      </c>
      <c r="J36" s="86" t="e">
        <f>#REF!</f>
        <v>#REF!</v>
      </c>
      <c r="K36" s="86" t="e">
        <f>#REF!</f>
        <v>#REF!</v>
      </c>
      <c r="L36" s="151">
        <v>2</v>
      </c>
      <c r="M36" s="86" t="e">
        <f t="shared" si="5"/>
        <v>#REF!</v>
      </c>
      <c r="N36" t="s">
        <v>271</v>
      </c>
    </row>
    <row r="37" spans="1:17">
      <c r="A37" s="286" t="s">
        <v>92</v>
      </c>
      <c r="B37" s="287" t="s">
        <v>88</v>
      </c>
      <c r="C37" s="264">
        <v>2892</v>
      </c>
      <c r="D37" s="265">
        <v>58.5</v>
      </c>
      <c r="E37" s="264">
        <v>2722</v>
      </c>
      <c r="F37" s="265">
        <v>20.7</v>
      </c>
      <c r="G37" s="89">
        <f t="shared" si="4"/>
        <v>598979.69999999995</v>
      </c>
      <c r="J37" s="86" t="e">
        <f>#REF!</f>
        <v>#REF!</v>
      </c>
      <c r="K37" s="86" t="e">
        <f>#REF!</f>
        <v>#REF!</v>
      </c>
      <c r="L37" s="151">
        <v>2</v>
      </c>
      <c r="M37" s="86" t="e">
        <f t="shared" si="5"/>
        <v>#REF!</v>
      </c>
      <c r="N37" t="s">
        <v>271</v>
      </c>
    </row>
    <row r="38" spans="1:17" hidden="1">
      <c r="A38" s="286" t="s">
        <v>93</v>
      </c>
      <c r="B38" s="287" t="s">
        <v>94</v>
      </c>
      <c r="C38" s="264">
        <v>0</v>
      </c>
      <c r="D38" s="265">
        <v>0</v>
      </c>
      <c r="E38" s="264"/>
      <c r="F38" s="265">
        <v>0</v>
      </c>
      <c r="G38" s="89">
        <f t="shared" si="4"/>
        <v>0</v>
      </c>
      <c r="J38" s="86">
        <v>0</v>
      </c>
      <c r="K38" s="86">
        <v>0</v>
      </c>
      <c r="L38" s="151">
        <v>2</v>
      </c>
      <c r="M38" s="86">
        <f t="shared" si="5"/>
        <v>0</v>
      </c>
    </row>
    <row r="39" spans="1:17" hidden="1">
      <c r="A39" s="286" t="s">
        <v>95</v>
      </c>
      <c r="B39" s="287" t="s">
        <v>96</v>
      </c>
      <c r="C39" s="264">
        <v>0</v>
      </c>
      <c r="D39" s="265">
        <v>0</v>
      </c>
      <c r="E39" s="264"/>
      <c r="F39" s="265">
        <v>0</v>
      </c>
      <c r="G39" s="89">
        <f t="shared" si="4"/>
        <v>0</v>
      </c>
      <c r="J39" s="86">
        <v>0</v>
      </c>
      <c r="K39" s="86">
        <v>0</v>
      </c>
      <c r="L39" s="151">
        <v>2</v>
      </c>
      <c r="M39" s="86">
        <f t="shared" si="5"/>
        <v>0</v>
      </c>
    </row>
    <row r="40" spans="1:17">
      <c r="A40" s="286" t="s">
        <v>97</v>
      </c>
      <c r="B40" s="287" t="s">
        <v>98</v>
      </c>
      <c r="C40" s="264">
        <v>1226</v>
      </c>
      <c r="D40" s="266">
        <v>28.7</v>
      </c>
      <c r="E40" s="267">
        <v>1519</v>
      </c>
      <c r="F40" s="266">
        <v>233.1</v>
      </c>
      <c r="G40" s="89">
        <f t="shared" si="4"/>
        <v>1579606</v>
      </c>
      <c r="J40" s="86" t="e">
        <f>#REF!</f>
        <v>#REF!</v>
      </c>
      <c r="K40" s="86" t="e">
        <f>#REF!</f>
        <v>#REF!</v>
      </c>
      <c r="L40" s="151">
        <v>2</v>
      </c>
      <c r="M40" s="86" t="e">
        <f t="shared" si="5"/>
        <v>#REF!</v>
      </c>
      <c r="N40" t="s">
        <v>271</v>
      </c>
    </row>
    <row r="41" spans="1:17">
      <c r="A41" s="263" t="s">
        <v>335</v>
      </c>
      <c r="B41" s="1"/>
      <c r="C41" s="264">
        <v>1560</v>
      </c>
      <c r="D41" s="265">
        <v>18.811794871794874</v>
      </c>
      <c r="E41" s="264">
        <v>1572</v>
      </c>
      <c r="F41" s="265">
        <v>20.611259541984733</v>
      </c>
      <c r="G41" s="228">
        <f t="shared" si="4"/>
        <v>200064.92500000005</v>
      </c>
      <c r="J41" s="86" t="e">
        <f>#REF!</f>
        <v>#REF!</v>
      </c>
      <c r="K41" s="86" t="e">
        <f>#REF!</f>
        <v>#REF!</v>
      </c>
      <c r="L41" s="151">
        <v>2</v>
      </c>
      <c r="M41" s="196" t="e">
        <f t="shared" si="5"/>
        <v>#REF!</v>
      </c>
      <c r="N41" t="s">
        <v>270</v>
      </c>
    </row>
    <row r="42" spans="1:17">
      <c r="A42" s="8" t="s">
        <v>259</v>
      </c>
      <c r="B42" s="8"/>
      <c r="C42" s="89"/>
      <c r="D42" s="90"/>
      <c r="E42" s="89"/>
      <c r="F42" s="89"/>
      <c r="G42" s="89">
        <f>SUM(G33:G41)</f>
        <v>3883829.5625</v>
      </c>
      <c r="J42" s="8" t="s">
        <v>221</v>
      </c>
      <c r="M42" s="89" t="e">
        <f>SUM(M33:M41)</f>
        <v>#REF!</v>
      </c>
    </row>
    <row r="43" spans="1:17">
      <c r="A43" s="8" t="s">
        <v>101</v>
      </c>
      <c r="B43" s="12"/>
      <c r="C43" s="174"/>
      <c r="D43" s="85"/>
      <c r="E43" s="174"/>
      <c r="F43" s="85"/>
      <c r="G43" s="12"/>
    </row>
    <row r="44" spans="1:17">
      <c r="A44" s="102" t="s">
        <v>333</v>
      </c>
      <c r="B44" s="12"/>
      <c r="C44" s="100">
        <v>4120</v>
      </c>
      <c r="D44" s="270">
        <v>13.9</v>
      </c>
      <c r="E44" s="100">
        <v>4628</v>
      </c>
      <c r="F44" s="270">
        <v>52.6</v>
      </c>
      <c r="G44" s="89">
        <f t="shared" ref="G44:G52" si="6">((C44*D44)*$C$5+(E44*F44)*$C$6)*$C$8/360</f>
        <v>1156283.8999999999</v>
      </c>
      <c r="J44" s="86" t="e">
        <f t="shared" ref="J44:K52" si="7">J22</f>
        <v>#REF!</v>
      </c>
      <c r="K44" s="86" t="e">
        <f t="shared" si="7"/>
        <v>#REF!</v>
      </c>
      <c r="L44" s="151">
        <v>2</v>
      </c>
      <c r="M44" s="86" t="e">
        <f t="shared" ref="M44:M52" si="8">SUM(D44,F44)/360*J44*L44</f>
        <v>#REF!</v>
      </c>
      <c r="N44" t="s">
        <v>270</v>
      </c>
    </row>
    <row r="45" spans="1:17">
      <c r="A45" s="102" t="s">
        <v>334</v>
      </c>
      <c r="B45" s="274"/>
      <c r="C45" s="100">
        <v>4171</v>
      </c>
      <c r="D45" s="270">
        <v>15.5</v>
      </c>
      <c r="E45" s="100">
        <v>3713</v>
      </c>
      <c r="F45" s="270">
        <v>14.8</v>
      </c>
      <c r="G45" s="89">
        <f t="shared" si="6"/>
        <v>370930.01250000001</v>
      </c>
      <c r="J45" s="86" t="e">
        <f t="shared" si="7"/>
        <v>#REF!</v>
      </c>
      <c r="K45" s="86" t="e">
        <f t="shared" si="7"/>
        <v>#REF!</v>
      </c>
      <c r="L45" s="151">
        <v>2</v>
      </c>
      <c r="M45" s="86" t="e">
        <f t="shared" si="8"/>
        <v>#REF!</v>
      </c>
      <c r="N45" t="s">
        <v>270</v>
      </c>
    </row>
    <row r="46" spans="1:17">
      <c r="A46" s="286" t="s">
        <v>90</v>
      </c>
      <c r="B46" s="287" t="s">
        <v>88</v>
      </c>
      <c r="C46" s="264">
        <v>3450</v>
      </c>
      <c r="D46" s="265">
        <v>23.3</v>
      </c>
      <c r="E46" s="264">
        <v>4839</v>
      </c>
      <c r="F46" s="265">
        <v>69.2</v>
      </c>
      <c r="G46" s="89">
        <f t="shared" si="6"/>
        <v>1593968.0249999999</v>
      </c>
      <c r="J46" s="86" t="e">
        <f t="shared" si="7"/>
        <v>#REF!</v>
      </c>
      <c r="K46" s="86" t="e">
        <f t="shared" si="7"/>
        <v>#REF!</v>
      </c>
      <c r="L46" s="151">
        <v>2</v>
      </c>
      <c r="M46" s="86" t="e">
        <f t="shared" si="8"/>
        <v>#REF!</v>
      </c>
      <c r="N46" t="s">
        <v>272</v>
      </c>
    </row>
    <row r="47" spans="1:17">
      <c r="A47" s="286" t="s">
        <v>91</v>
      </c>
      <c r="B47" s="287" t="s">
        <v>88</v>
      </c>
      <c r="C47" s="264">
        <v>2742</v>
      </c>
      <c r="D47" s="265">
        <v>59.6</v>
      </c>
      <c r="E47" s="264">
        <v>2886</v>
      </c>
      <c r="F47" s="265">
        <v>19.5</v>
      </c>
      <c r="G47" s="89">
        <f t="shared" si="6"/>
        <v>586451.55000000005</v>
      </c>
      <c r="J47" s="86" t="e">
        <f t="shared" si="7"/>
        <v>#REF!</v>
      </c>
      <c r="K47" s="86" t="e">
        <f t="shared" si="7"/>
        <v>#REF!</v>
      </c>
      <c r="L47" s="151">
        <v>2</v>
      </c>
      <c r="M47" s="86" t="e">
        <f t="shared" si="8"/>
        <v>#REF!</v>
      </c>
      <c r="N47" t="s">
        <v>272</v>
      </c>
    </row>
    <row r="48" spans="1:17">
      <c r="A48" s="286" t="s">
        <v>92</v>
      </c>
      <c r="B48" s="287" t="s">
        <v>88</v>
      </c>
      <c r="C48" s="264">
        <v>3212</v>
      </c>
      <c r="D48" s="265">
        <v>83.2</v>
      </c>
      <c r="E48" s="264">
        <v>3057</v>
      </c>
      <c r="F48" s="265">
        <v>26.1</v>
      </c>
      <c r="G48" s="89">
        <f t="shared" si="6"/>
        <v>906979.32499999995</v>
      </c>
      <c r="J48" s="86" t="e">
        <f t="shared" si="7"/>
        <v>#REF!</v>
      </c>
      <c r="K48" s="86" t="e">
        <f t="shared" si="7"/>
        <v>#REF!</v>
      </c>
      <c r="L48" s="151">
        <v>2</v>
      </c>
      <c r="M48" s="86" t="e">
        <f t="shared" si="8"/>
        <v>#REF!</v>
      </c>
      <c r="N48" t="s">
        <v>272</v>
      </c>
    </row>
    <row r="49" spans="1:14" hidden="1">
      <c r="A49" s="286" t="s">
        <v>93</v>
      </c>
      <c r="B49" s="287" t="s">
        <v>94</v>
      </c>
      <c r="C49" s="264">
        <v>0</v>
      </c>
      <c r="D49" s="265">
        <v>0</v>
      </c>
      <c r="E49" s="264"/>
      <c r="F49" s="265">
        <v>0</v>
      </c>
      <c r="G49" s="89">
        <f t="shared" si="6"/>
        <v>0</v>
      </c>
      <c r="J49" s="86">
        <f t="shared" si="7"/>
        <v>0</v>
      </c>
      <c r="K49" s="86">
        <f t="shared" si="7"/>
        <v>0</v>
      </c>
      <c r="L49" s="151">
        <v>2</v>
      </c>
      <c r="M49" s="86">
        <f t="shared" si="8"/>
        <v>0</v>
      </c>
    </row>
    <row r="50" spans="1:14" hidden="1">
      <c r="A50" s="286" t="s">
        <v>95</v>
      </c>
      <c r="B50" s="287" t="s">
        <v>96</v>
      </c>
      <c r="C50" s="264">
        <v>0</v>
      </c>
      <c r="D50" s="265">
        <v>0</v>
      </c>
      <c r="E50" s="264"/>
      <c r="F50" s="265">
        <v>0</v>
      </c>
      <c r="G50" s="89">
        <f t="shared" si="6"/>
        <v>0</v>
      </c>
      <c r="J50" s="86">
        <f t="shared" si="7"/>
        <v>0</v>
      </c>
      <c r="K50" s="86">
        <f t="shared" si="7"/>
        <v>0</v>
      </c>
      <c r="L50" s="151">
        <v>2</v>
      </c>
      <c r="M50" s="86">
        <f t="shared" si="8"/>
        <v>0</v>
      </c>
    </row>
    <row r="51" spans="1:14">
      <c r="A51" s="286" t="s">
        <v>97</v>
      </c>
      <c r="B51" s="287" t="s">
        <v>98</v>
      </c>
      <c r="C51" s="264">
        <v>1410</v>
      </c>
      <c r="D51" s="266">
        <v>45.3</v>
      </c>
      <c r="E51" s="267">
        <v>1712</v>
      </c>
      <c r="F51" s="266">
        <v>390.5</v>
      </c>
      <c r="G51" s="89">
        <f t="shared" si="6"/>
        <v>2977008.125</v>
      </c>
      <c r="J51" s="86" t="e">
        <f t="shared" si="7"/>
        <v>#REF!</v>
      </c>
      <c r="K51" s="86" t="e">
        <f t="shared" si="7"/>
        <v>#REF!</v>
      </c>
      <c r="L51" s="151">
        <v>2</v>
      </c>
      <c r="M51" s="86" t="e">
        <f t="shared" si="8"/>
        <v>#REF!</v>
      </c>
      <c r="N51" t="s">
        <v>272</v>
      </c>
    </row>
    <row r="52" spans="1:14">
      <c r="A52" s="263" t="s">
        <v>336</v>
      </c>
      <c r="B52" s="1"/>
      <c r="C52" s="264">
        <v>1840</v>
      </c>
      <c r="D52" s="265">
        <v>63.8</v>
      </c>
      <c r="E52" s="264">
        <v>1847</v>
      </c>
      <c r="F52" s="265">
        <v>15.8</v>
      </c>
      <c r="G52" s="228">
        <f t="shared" si="6"/>
        <v>373484.05</v>
      </c>
      <c r="J52" s="86" t="e">
        <f t="shared" si="7"/>
        <v>#REF!</v>
      </c>
      <c r="K52" s="86" t="e">
        <f t="shared" si="7"/>
        <v>#REF!</v>
      </c>
      <c r="L52" s="151">
        <v>2</v>
      </c>
      <c r="M52" s="196" t="e">
        <f t="shared" si="8"/>
        <v>#REF!</v>
      </c>
      <c r="N52" t="s">
        <v>270</v>
      </c>
    </row>
    <row r="53" spans="1:14">
      <c r="A53" s="8" t="s">
        <v>259</v>
      </c>
      <c r="B53" s="12"/>
      <c r="C53" s="100"/>
      <c r="D53" s="270"/>
      <c r="E53" s="100"/>
      <c r="F53" s="100"/>
      <c r="G53" s="89">
        <f>SUM(G44:G52)</f>
        <v>7965104.9874999998</v>
      </c>
      <c r="M53" s="89" t="e">
        <f>SUM(M44:M52)</f>
        <v>#REF!</v>
      </c>
    </row>
    <row r="54" spans="1:14">
      <c r="A54" s="268" t="s">
        <v>104</v>
      </c>
      <c r="B54" s="8"/>
      <c r="C54" s="89"/>
      <c r="D54" s="90"/>
      <c r="E54" s="89"/>
      <c r="F54" s="89"/>
      <c r="G54" s="100"/>
    </row>
    <row r="55" spans="1:14">
      <c r="A55" s="342" t="s">
        <v>337</v>
      </c>
      <c r="B55" s="12"/>
      <c r="C55" s="100"/>
      <c r="D55" s="270"/>
      <c r="E55" s="100"/>
      <c r="F55" s="270"/>
      <c r="G55" s="12"/>
    </row>
    <row r="56" spans="1:14">
      <c r="A56" s="8"/>
    </row>
    <row r="57" spans="1:14">
      <c r="A57" s="68"/>
    </row>
    <row r="58" spans="1:14">
      <c r="A58" s="68"/>
    </row>
    <row r="59" spans="1:14">
      <c r="A59" s="73"/>
    </row>
    <row r="60" spans="1:14">
      <c r="A60" s="68"/>
    </row>
    <row r="63" spans="1:14">
      <c r="A63">
        <f>3.5*0.9</f>
        <v>3.15</v>
      </c>
    </row>
  </sheetData>
  <mergeCells count="2">
    <mergeCell ref="C9:D9"/>
    <mergeCell ref="E9:F9"/>
  </mergeCells>
  <pageMargins left="0.7" right="0.7" top="0.75" bottom="0.75" header="0.3" footer="0.3"/>
  <pageSetup scale="97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691C8-F1B1-4D95-8ED6-DC845B413969}">
  <dimension ref="D1:X247"/>
  <sheetViews>
    <sheetView showGridLines="0" topLeftCell="B1" zoomScale="80" zoomScaleNormal="80" workbookViewId="0">
      <selection activeCell="T15" sqref="T15:V15"/>
    </sheetView>
  </sheetViews>
  <sheetFormatPr defaultRowHeight="14.4"/>
  <cols>
    <col min="2" max="2" width="1.5546875" customWidth="1"/>
    <col min="3" max="3" width="0" hidden="1" customWidth="1"/>
    <col min="6" max="6" width="11.5546875" hidden="1" customWidth="1"/>
    <col min="7" max="11" width="8.88671875" hidden="1" customWidth="1"/>
    <col min="12" max="12" width="10.5546875" hidden="1" customWidth="1"/>
    <col min="13" max="15" width="8.88671875" hidden="1" customWidth="1"/>
    <col min="23" max="23" width="11.5546875" customWidth="1"/>
  </cols>
  <sheetData>
    <row r="1" spans="4:24">
      <c r="D1" s="7" t="s">
        <v>395</v>
      </c>
    </row>
    <row r="2" spans="4:24" ht="18">
      <c r="D2" s="198" t="s">
        <v>225</v>
      </c>
    </row>
    <row r="3" spans="4:24" ht="6" customHeight="1"/>
    <row r="4" spans="4:24" ht="57.6">
      <c r="S4" s="282" t="s">
        <v>233</v>
      </c>
      <c r="T4" s="428" t="s">
        <v>260</v>
      </c>
      <c r="U4" s="428"/>
      <c r="V4" s="428"/>
    </row>
    <row r="5" spans="4:24" ht="15" customHeight="1">
      <c r="D5" s="8" t="s">
        <v>338</v>
      </c>
      <c r="F5" s="202"/>
      <c r="G5" s="202"/>
      <c r="H5" s="203"/>
      <c r="I5" s="203"/>
      <c r="J5" s="203"/>
      <c r="K5" s="203"/>
      <c r="L5" s="203"/>
      <c r="M5" s="203"/>
      <c r="N5" s="203"/>
      <c r="O5" s="203"/>
      <c r="P5" s="203"/>
      <c r="Q5" s="204"/>
      <c r="R5" s="205"/>
      <c r="S5" s="205">
        <f>SUM(S16:S39)</f>
        <v>10.500718845043062</v>
      </c>
      <c r="T5" s="206" t="s">
        <v>235</v>
      </c>
      <c r="U5" s="279"/>
      <c r="V5" s="279"/>
      <c r="W5" s="201"/>
    </row>
    <row r="6" spans="4:24" ht="15" customHeight="1">
      <c r="D6" s="208" t="s">
        <v>261</v>
      </c>
      <c r="E6" s="209"/>
      <c r="F6" s="210"/>
      <c r="G6" s="210"/>
      <c r="H6" s="211"/>
      <c r="I6" s="211"/>
      <c r="J6" s="211"/>
      <c r="K6" s="211"/>
      <c r="L6" s="211"/>
      <c r="M6" s="211"/>
      <c r="N6" s="211"/>
      <c r="O6" s="211"/>
      <c r="P6" s="211"/>
      <c r="Q6" s="212"/>
      <c r="R6" s="213"/>
      <c r="S6" s="213">
        <f>SUM(S16:S27)</f>
        <v>4.4674233904976095</v>
      </c>
      <c r="T6" s="214" t="s">
        <v>235</v>
      </c>
      <c r="U6" s="215"/>
      <c r="V6" s="215"/>
      <c r="W6" s="216"/>
      <c r="X6" s="209"/>
    </row>
    <row r="7" spans="4:24" ht="15" customHeight="1">
      <c r="D7" s="208" t="s">
        <v>262</v>
      </c>
      <c r="E7" s="209"/>
      <c r="F7" s="210"/>
      <c r="G7" s="210"/>
      <c r="H7" s="211"/>
      <c r="I7" s="211"/>
      <c r="J7" s="211"/>
      <c r="K7" s="211"/>
      <c r="L7" s="211"/>
      <c r="M7" s="211"/>
      <c r="N7" s="211"/>
      <c r="O7" s="211"/>
      <c r="P7" s="211"/>
      <c r="Q7" s="212"/>
      <c r="R7" s="213"/>
      <c r="S7" s="213">
        <f>SUM(S28:S39)</f>
        <v>6.0332954545454553</v>
      </c>
      <c r="T7" s="214" t="s">
        <v>235</v>
      </c>
      <c r="U7" s="215"/>
      <c r="V7" s="215"/>
      <c r="W7" s="216"/>
      <c r="X7" s="209"/>
    </row>
    <row r="8" spans="4:24" ht="15" customHeight="1">
      <c r="D8" s="217" t="s">
        <v>236</v>
      </c>
      <c r="R8" s="205"/>
      <c r="S8" s="205">
        <v>9.261902889023812</v>
      </c>
      <c r="T8" s="206" t="s">
        <v>235</v>
      </c>
      <c r="U8" s="279"/>
      <c r="V8" s="279"/>
      <c r="W8" s="201"/>
    </row>
    <row r="9" spans="4:24" ht="15" customHeight="1">
      <c r="D9" s="208" t="s">
        <v>261</v>
      </c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13"/>
      <c r="S9" s="213">
        <f>SUM(S191:S202)</f>
        <v>3.2655147414209762</v>
      </c>
      <c r="T9" s="214" t="s">
        <v>235</v>
      </c>
      <c r="U9" s="215"/>
      <c r="V9" s="215"/>
      <c r="W9" s="216"/>
      <c r="X9" s="209"/>
    </row>
    <row r="10" spans="4:24" ht="15" customHeight="1">
      <c r="D10" s="208" t="s">
        <v>262</v>
      </c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13"/>
      <c r="S10" s="213">
        <f>SUM(S203:S214)</f>
        <v>5.9963881476028353</v>
      </c>
      <c r="T10" s="214" t="s">
        <v>235</v>
      </c>
      <c r="U10" s="215"/>
      <c r="V10" s="215"/>
      <c r="W10" s="216"/>
      <c r="X10" s="209"/>
    </row>
    <row r="11" spans="4:24">
      <c r="F11" s="429"/>
      <c r="G11" s="429"/>
    </row>
    <row r="12" spans="4:24" ht="12" customHeight="1">
      <c r="F12" s="430" t="s">
        <v>226</v>
      </c>
      <c r="G12" s="430"/>
      <c r="H12" s="430"/>
      <c r="I12" s="430"/>
      <c r="J12" s="430"/>
      <c r="K12" s="430"/>
      <c r="L12" s="430"/>
      <c r="M12" s="430"/>
      <c r="N12" s="430"/>
      <c r="O12" s="430"/>
    </row>
    <row r="13" spans="4:24" ht="60.6" customHeight="1">
      <c r="F13" s="431" t="s">
        <v>227</v>
      </c>
      <c r="G13" s="432"/>
      <c r="H13" s="433" t="s">
        <v>228</v>
      </c>
      <c r="I13" s="434"/>
      <c r="J13" s="433" t="s">
        <v>229</v>
      </c>
      <c r="K13" s="434"/>
      <c r="L13" s="433" t="s">
        <v>229</v>
      </c>
      <c r="M13" s="434"/>
      <c r="N13" s="433" t="s">
        <v>230</v>
      </c>
      <c r="O13" s="434"/>
      <c r="P13" s="282" t="s">
        <v>231</v>
      </c>
      <c r="Q13" s="200"/>
      <c r="R13" s="277" t="s">
        <v>232</v>
      </c>
      <c r="S13" s="278" t="s">
        <v>233</v>
      </c>
      <c r="T13" s="428" t="s">
        <v>260</v>
      </c>
      <c r="U13" s="428"/>
      <c r="V13" s="428"/>
      <c r="W13" s="201"/>
    </row>
    <row r="14" spans="4:24">
      <c r="D14" s="218" t="s">
        <v>237</v>
      </c>
      <c r="F14" s="243"/>
      <c r="G14" s="244"/>
      <c r="H14" s="243"/>
      <c r="I14" s="244"/>
      <c r="J14" s="243"/>
      <c r="K14" s="244"/>
      <c r="L14" s="243"/>
      <c r="M14" s="244"/>
      <c r="N14" s="243"/>
      <c r="O14" s="244"/>
      <c r="P14" s="252"/>
      <c r="R14" s="229"/>
      <c r="S14" s="13"/>
    </row>
    <row r="15" spans="4:24">
      <c r="D15" s="231"/>
      <c r="E15" s="240"/>
      <c r="F15" s="245" t="s">
        <v>238</v>
      </c>
      <c r="G15" s="246" t="s">
        <v>239</v>
      </c>
      <c r="H15" s="245" t="s">
        <v>238</v>
      </c>
      <c r="I15" s="246" t="s">
        <v>239</v>
      </c>
      <c r="J15" s="245" t="s">
        <v>238</v>
      </c>
      <c r="K15" s="246" t="s">
        <v>239</v>
      </c>
      <c r="L15" s="251"/>
      <c r="M15" s="232"/>
      <c r="N15" s="251"/>
      <c r="O15" s="232"/>
      <c r="P15" s="253"/>
      <c r="Q15" s="258"/>
      <c r="R15" s="251"/>
      <c r="S15" s="232"/>
      <c r="T15" s="419" t="s">
        <v>341</v>
      </c>
      <c r="U15" s="420"/>
      <c r="V15" s="421"/>
      <c r="W15" s="443" t="s">
        <v>339</v>
      </c>
    </row>
    <row r="16" spans="4:24">
      <c r="D16" s="233">
        <v>0.5</v>
      </c>
      <c r="E16" s="230" t="s">
        <v>156</v>
      </c>
      <c r="F16" s="247">
        <v>11.7</v>
      </c>
      <c r="G16" s="237">
        <v>140.69999999999999</v>
      </c>
      <c r="H16" s="247">
        <v>17.399999999999999</v>
      </c>
      <c r="I16" s="237">
        <v>241.9</v>
      </c>
      <c r="J16" s="247">
        <v>132.4</v>
      </c>
      <c r="K16" s="237">
        <v>223.6</v>
      </c>
      <c r="L16" s="247">
        <v>170.3</v>
      </c>
      <c r="M16" s="237"/>
      <c r="N16" s="247">
        <v>177</v>
      </c>
      <c r="O16" s="237"/>
      <c r="P16" s="254">
        <f>AVERAGE(N16,F16:L16)</f>
        <v>139.375</v>
      </c>
      <c r="Q16" s="435" t="s">
        <v>156</v>
      </c>
      <c r="R16" s="261">
        <f>P16/$P$24</f>
        <v>0.19591650267078997</v>
      </c>
      <c r="S16" s="234">
        <v>0</v>
      </c>
      <c r="T16" s="251"/>
      <c r="U16" s="319">
        <f>P16/$T$25</f>
        <v>0.19746162927981109</v>
      </c>
      <c r="V16" s="320">
        <v>0</v>
      </c>
      <c r="W16" s="443"/>
    </row>
    <row r="17" spans="4:23">
      <c r="D17" s="233">
        <v>4.1666666666666664E-2</v>
      </c>
      <c r="E17" s="230" t="s">
        <v>156</v>
      </c>
      <c r="F17" s="247">
        <v>10.4</v>
      </c>
      <c r="G17" s="237">
        <v>96.7</v>
      </c>
      <c r="H17" s="247">
        <v>10.9</v>
      </c>
      <c r="I17" s="237">
        <v>149.69999999999999</v>
      </c>
      <c r="J17" s="247">
        <v>88.7</v>
      </c>
      <c r="K17" s="237">
        <v>145</v>
      </c>
      <c r="L17" s="247">
        <v>105.7</v>
      </c>
      <c r="M17" s="237"/>
      <c r="N17" s="247">
        <v>93.7</v>
      </c>
      <c r="O17" s="237"/>
      <c r="P17" s="254">
        <f t="shared" ref="P17:P39" si="0">AVERAGE(N17,F17:L17)</f>
        <v>87.6</v>
      </c>
      <c r="Q17" s="435"/>
      <c r="R17" s="261">
        <f t="shared" ref="R17:R27" si="1">P17/$P$24</f>
        <v>0.12313747540061848</v>
      </c>
      <c r="S17" s="234">
        <v>0</v>
      </c>
      <c r="T17" s="247"/>
      <c r="U17" s="321">
        <f t="shared" ref="U17:U23" si="2">P17/$T$25</f>
        <v>0.12410861865407319</v>
      </c>
      <c r="V17" s="322">
        <v>0</v>
      </c>
      <c r="W17" s="443"/>
    </row>
    <row r="18" spans="4:23">
      <c r="D18" s="233">
        <v>8.3333333333333329E-2</v>
      </c>
      <c r="E18" s="230" t="s">
        <v>156</v>
      </c>
      <c r="F18" s="247">
        <v>6</v>
      </c>
      <c r="G18" s="237">
        <v>77.400000000000006</v>
      </c>
      <c r="H18" s="247">
        <v>10.1</v>
      </c>
      <c r="I18" s="237">
        <v>117.6</v>
      </c>
      <c r="J18" s="247">
        <v>71.099999999999994</v>
      </c>
      <c r="K18" s="237">
        <v>110</v>
      </c>
      <c r="L18" s="247">
        <v>90.1</v>
      </c>
      <c r="M18" s="237"/>
      <c r="N18" s="247">
        <v>92</v>
      </c>
      <c r="O18" s="237"/>
      <c r="P18" s="254">
        <f t="shared" si="0"/>
        <v>71.787500000000009</v>
      </c>
      <c r="Q18" s="435"/>
      <c r="R18" s="261">
        <f t="shared" si="1"/>
        <v>0.10091017711554681</v>
      </c>
      <c r="S18" s="234">
        <v>0</v>
      </c>
      <c r="T18" s="247"/>
      <c r="U18" s="321">
        <f t="shared" si="2"/>
        <v>0.10170602125147581</v>
      </c>
      <c r="V18" s="322">
        <v>0</v>
      </c>
      <c r="W18" s="443"/>
    </row>
    <row r="19" spans="4:23">
      <c r="D19" s="233">
        <v>0.125</v>
      </c>
      <c r="E19" s="230" t="s">
        <v>156</v>
      </c>
      <c r="F19" s="247">
        <v>12.3</v>
      </c>
      <c r="G19" s="237">
        <v>56.1</v>
      </c>
      <c r="H19" s="247">
        <v>7</v>
      </c>
      <c r="I19" s="237">
        <v>72.7</v>
      </c>
      <c r="J19" s="247">
        <v>62.9</v>
      </c>
      <c r="K19" s="237">
        <v>74.900000000000006</v>
      </c>
      <c r="L19" s="247">
        <v>71.3</v>
      </c>
      <c r="M19" s="237"/>
      <c r="N19" s="247">
        <v>72.599999999999994</v>
      </c>
      <c r="O19" s="237"/>
      <c r="P19" s="254">
        <f t="shared" si="0"/>
        <v>53.725000000000001</v>
      </c>
      <c r="Q19" s="435"/>
      <c r="R19" s="261">
        <f t="shared" si="1"/>
        <v>7.5520101208883889E-2</v>
      </c>
      <c r="S19" s="234">
        <v>0</v>
      </c>
      <c r="T19" s="247"/>
      <c r="U19" s="321">
        <f t="shared" si="2"/>
        <v>7.611570247933884E-2</v>
      </c>
      <c r="V19" s="322">
        <v>0</v>
      </c>
      <c r="W19" s="443"/>
    </row>
    <row r="20" spans="4:23">
      <c r="D20" s="233">
        <v>0.16666666666666666</v>
      </c>
      <c r="E20" s="230" t="s">
        <v>156</v>
      </c>
      <c r="F20" s="247">
        <v>33.9</v>
      </c>
      <c r="G20" s="237">
        <v>101</v>
      </c>
      <c r="H20" s="247">
        <v>9.9</v>
      </c>
      <c r="I20" s="237">
        <v>72</v>
      </c>
      <c r="J20" s="247">
        <v>131.9</v>
      </c>
      <c r="K20" s="237">
        <v>96.6</v>
      </c>
      <c r="L20" s="247">
        <v>107.6</v>
      </c>
      <c r="M20" s="237"/>
      <c r="N20" s="247">
        <v>150</v>
      </c>
      <c r="O20" s="237"/>
      <c r="P20" s="254">
        <f t="shared" si="0"/>
        <v>87.862499999999997</v>
      </c>
      <c r="Q20" s="435"/>
      <c r="R20" s="261">
        <f t="shared" si="1"/>
        <v>0.12350646612313745</v>
      </c>
      <c r="S20" s="234">
        <v>0</v>
      </c>
      <c r="T20" s="247"/>
      <c r="U20" s="321">
        <f t="shared" si="2"/>
        <v>0.12448051948051947</v>
      </c>
      <c r="V20" s="322">
        <v>0</v>
      </c>
      <c r="W20" s="443"/>
    </row>
    <row r="21" spans="4:23">
      <c r="D21" s="233">
        <v>0.20833333333333334</v>
      </c>
      <c r="E21" s="230" t="s">
        <v>156</v>
      </c>
      <c r="F21" s="247">
        <v>98</v>
      </c>
      <c r="G21" s="237">
        <v>210</v>
      </c>
      <c r="H21" s="247">
        <v>39.6</v>
      </c>
      <c r="I21" s="237">
        <v>156.1</v>
      </c>
      <c r="J21" s="247">
        <v>383.3</v>
      </c>
      <c r="K21" s="237">
        <v>242.9</v>
      </c>
      <c r="L21" s="247">
        <v>278.39999999999998</v>
      </c>
      <c r="M21" s="237"/>
      <c r="N21" s="247">
        <v>454</v>
      </c>
      <c r="O21" s="237"/>
      <c r="P21" s="254">
        <f t="shared" si="0"/>
        <v>232.78750000000002</v>
      </c>
      <c r="Q21" s="435"/>
      <c r="R21" s="261">
        <f t="shared" si="1"/>
        <v>0.32722448692718581</v>
      </c>
      <c r="S21" s="234">
        <v>0</v>
      </c>
      <c r="T21" s="247"/>
      <c r="U21" s="321">
        <f t="shared" si="2"/>
        <v>0.32980519480519482</v>
      </c>
      <c r="V21" s="322">
        <v>0</v>
      </c>
      <c r="W21" s="443"/>
    </row>
    <row r="22" spans="4:23">
      <c r="D22" s="233">
        <v>0.25</v>
      </c>
      <c r="E22" s="230" t="s">
        <v>156</v>
      </c>
      <c r="F22" s="247">
        <v>312.89999999999998</v>
      </c>
      <c r="G22" s="237">
        <v>379.9</v>
      </c>
      <c r="H22" s="247">
        <v>116.6</v>
      </c>
      <c r="I22" s="237">
        <v>355.4</v>
      </c>
      <c r="J22" s="247">
        <v>802.1</v>
      </c>
      <c r="K22" s="237">
        <v>528.29999999999995</v>
      </c>
      <c r="L22" s="247">
        <v>460.7</v>
      </c>
      <c r="M22" s="237"/>
      <c r="N22" s="247">
        <v>943.9</v>
      </c>
      <c r="O22" s="237"/>
      <c r="P22" s="254">
        <f t="shared" si="0"/>
        <v>487.47499999999991</v>
      </c>
      <c r="Q22" s="435"/>
      <c r="R22" s="261">
        <f t="shared" si="1"/>
        <v>0.68523334270452607</v>
      </c>
      <c r="S22" s="234">
        <v>0</v>
      </c>
      <c r="T22" s="247"/>
      <c r="U22" s="321">
        <f t="shared" si="2"/>
        <v>0.69063754427390778</v>
      </c>
      <c r="V22" s="322">
        <v>0</v>
      </c>
    </row>
    <row r="23" spans="4:23">
      <c r="D23" s="233">
        <v>0.29166666666666669</v>
      </c>
      <c r="E23" s="230" t="s">
        <v>156</v>
      </c>
      <c r="F23" s="248">
        <v>442.1</v>
      </c>
      <c r="G23" s="249">
        <v>552.9</v>
      </c>
      <c r="H23" s="248">
        <v>224.7</v>
      </c>
      <c r="I23" s="249">
        <v>566.9</v>
      </c>
      <c r="J23" s="248">
        <v>861.9</v>
      </c>
      <c r="K23" s="237">
        <v>726.6</v>
      </c>
      <c r="L23" s="247">
        <v>620.1</v>
      </c>
      <c r="M23" s="237"/>
      <c r="N23" s="247">
        <v>1099.5999999999999</v>
      </c>
      <c r="O23" s="237"/>
      <c r="P23" s="254">
        <f t="shared" si="0"/>
        <v>636.85</v>
      </c>
      <c r="Q23" s="435"/>
      <c r="R23" s="261">
        <f t="shared" si="1"/>
        <v>0.89520663480461049</v>
      </c>
      <c r="S23" s="234">
        <f>R23/2</f>
        <v>0.44760331740230525</v>
      </c>
      <c r="T23" s="247"/>
      <c r="U23" s="321">
        <f t="shared" si="2"/>
        <v>0.90226682408500591</v>
      </c>
      <c r="V23" s="322">
        <v>1</v>
      </c>
    </row>
    <row r="24" spans="4:23">
      <c r="D24" s="235">
        <v>0.33333333333333331</v>
      </c>
      <c r="E24" s="241" t="s">
        <v>156</v>
      </c>
      <c r="F24" s="248">
        <v>374.3</v>
      </c>
      <c r="G24" s="249">
        <v>641.29999999999995</v>
      </c>
      <c r="H24" s="248">
        <v>248.1</v>
      </c>
      <c r="I24" s="249">
        <v>685</v>
      </c>
      <c r="J24" s="248">
        <v>936.1</v>
      </c>
      <c r="K24" s="237">
        <v>801.6</v>
      </c>
      <c r="L24" s="247">
        <v>756.1</v>
      </c>
      <c r="M24" s="237"/>
      <c r="N24" s="247">
        <v>1248.7</v>
      </c>
      <c r="O24" s="237"/>
      <c r="P24" s="255">
        <f t="shared" si="0"/>
        <v>711.40000000000009</v>
      </c>
      <c r="Q24" s="435"/>
      <c r="R24" s="261">
        <f t="shared" si="1"/>
        <v>1</v>
      </c>
      <c r="S24" s="236">
        <f>R24</f>
        <v>1</v>
      </c>
      <c r="T24" s="326"/>
      <c r="U24" s="323"/>
      <c r="V24" s="237"/>
    </row>
    <row r="25" spans="4:23">
      <c r="D25" s="233">
        <v>0.375</v>
      </c>
      <c r="E25" s="230" t="s">
        <v>156</v>
      </c>
      <c r="F25" s="248">
        <v>220.3</v>
      </c>
      <c r="G25" s="249">
        <v>672.7</v>
      </c>
      <c r="H25" s="248">
        <v>212.1</v>
      </c>
      <c r="I25" s="249">
        <v>652.4</v>
      </c>
      <c r="J25" s="248">
        <v>996.9</v>
      </c>
      <c r="K25" s="237">
        <v>896</v>
      </c>
      <c r="L25" s="247">
        <v>824</v>
      </c>
      <c r="M25" s="237"/>
      <c r="N25" s="247">
        <v>1101</v>
      </c>
      <c r="O25" s="237"/>
      <c r="P25" s="254">
        <f t="shared" si="0"/>
        <v>696.92499999999995</v>
      </c>
      <c r="Q25" s="435"/>
      <c r="R25" s="261">
        <f t="shared" si="1"/>
        <v>0.97965279730109622</v>
      </c>
      <c r="S25" s="236">
        <f>R25</f>
        <v>0.97965279730109622</v>
      </c>
      <c r="T25" s="327">
        <f>AVERAGE(P24:P26)</f>
        <v>705.83333333333337</v>
      </c>
      <c r="U25" s="323"/>
      <c r="V25" s="237"/>
      <c r="W25" s="330">
        <f>SUM(V16:V27)/9</f>
        <v>0.22222222222222221</v>
      </c>
    </row>
    <row r="26" spans="4:23">
      <c r="D26" s="233">
        <v>0.41666666666666669</v>
      </c>
      <c r="E26" s="230" t="s">
        <v>156</v>
      </c>
      <c r="F26" s="248">
        <v>166.7</v>
      </c>
      <c r="G26" s="249">
        <v>769.9</v>
      </c>
      <c r="H26" s="248">
        <v>200.9</v>
      </c>
      <c r="I26" s="249">
        <v>738.4</v>
      </c>
      <c r="J26" s="248">
        <v>949.9</v>
      </c>
      <c r="K26" s="237">
        <v>866.9</v>
      </c>
      <c r="L26" s="247">
        <v>887.7</v>
      </c>
      <c r="M26" s="237"/>
      <c r="N26" s="247">
        <v>1093</v>
      </c>
      <c r="O26" s="237"/>
      <c r="P26" s="254">
        <f t="shared" si="0"/>
        <v>709.17499999999995</v>
      </c>
      <c r="Q26" s="435"/>
      <c r="R26" s="261">
        <f t="shared" si="1"/>
        <v>0.99687236435198179</v>
      </c>
      <c r="S26" s="236">
        <f>R26</f>
        <v>0.99687236435198179</v>
      </c>
      <c r="T26" s="328"/>
      <c r="U26" s="323"/>
      <c r="V26" s="237"/>
    </row>
    <row r="27" spans="4:23">
      <c r="D27" s="233">
        <v>0.45833333333333331</v>
      </c>
      <c r="E27" s="230" t="s">
        <v>156</v>
      </c>
      <c r="F27" s="248">
        <v>146.69999999999999</v>
      </c>
      <c r="G27" s="249">
        <v>849.4</v>
      </c>
      <c r="H27" s="248">
        <v>192.1</v>
      </c>
      <c r="I27" s="249">
        <v>922.1</v>
      </c>
      <c r="J27" s="248">
        <v>914</v>
      </c>
      <c r="K27" s="237">
        <v>953.9</v>
      </c>
      <c r="L27" s="247">
        <v>963</v>
      </c>
      <c r="M27" s="237"/>
      <c r="N27" s="247">
        <v>996.4</v>
      </c>
      <c r="O27" s="237"/>
      <c r="P27" s="254">
        <f t="shared" si="0"/>
        <v>742.19999999999993</v>
      </c>
      <c r="Q27" s="435"/>
      <c r="R27" s="261">
        <f t="shared" si="1"/>
        <v>1.0432949114422263</v>
      </c>
      <c r="S27" s="236">
        <f>R27</f>
        <v>1.0432949114422263</v>
      </c>
      <c r="T27" s="329"/>
      <c r="U27" s="321">
        <f>P27/$T$25</f>
        <v>1.0515230224321133</v>
      </c>
      <c r="V27" s="322">
        <v>1</v>
      </c>
    </row>
    <row r="28" spans="4:23">
      <c r="D28" s="233">
        <v>0.5</v>
      </c>
      <c r="E28" s="230" t="s">
        <v>155</v>
      </c>
      <c r="F28" s="248">
        <v>160</v>
      </c>
      <c r="G28" s="249">
        <v>950.9</v>
      </c>
      <c r="H28" s="248">
        <v>208.9</v>
      </c>
      <c r="I28" s="249">
        <v>1001.7</v>
      </c>
      <c r="J28" s="248">
        <v>920.7</v>
      </c>
      <c r="K28" s="237">
        <v>1046.5999999999999</v>
      </c>
      <c r="L28" s="247">
        <v>1061.0999999999999</v>
      </c>
      <c r="M28" s="237"/>
      <c r="N28" s="247">
        <v>1040.0999999999999</v>
      </c>
      <c r="O28" s="237"/>
      <c r="P28" s="256">
        <f t="shared" si="0"/>
        <v>798.75</v>
      </c>
      <c r="Q28" s="436" t="s">
        <v>155</v>
      </c>
      <c r="R28" s="261">
        <f>P28/$P$33</f>
        <v>0.85427807486631013</v>
      </c>
      <c r="S28" s="236">
        <f>R28/2</f>
        <v>0.42713903743315507</v>
      </c>
      <c r="T28" s="329"/>
      <c r="U28" s="321">
        <f>P28/$T$33</f>
        <v>0.87826198504618092</v>
      </c>
      <c r="V28" s="322">
        <v>0.5</v>
      </c>
    </row>
    <row r="29" spans="4:23">
      <c r="D29" s="233">
        <v>4.1666666666666664E-2</v>
      </c>
      <c r="E29" s="230" t="s">
        <v>155</v>
      </c>
      <c r="F29" s="248">
        <v>145.6</v>
      </c>
      <c r="G29" s="249">
        <v>988.3</v>
      </c>
      <c r="H29" s="248">
        <v>198.7</v>
      </c>
      <c r="I29" s="249">
        <v>1000.3</v>
      </c>
      <c r="J29" s="248">
        <v>910.3</v>
      </c>
      <c r="K29" s="237">
        <v>1008.1</v>
      </c>
      <c r="L29" s="247">
        <v>1098.7</v>
      </c>
      <c r="M29" s="237"/>
      <c r="N29" s="247">
        <v>982.9</v>
      </c>
      <c r="O29" s="237"/>
      <c r="P29" s="256">
        <f t="shared" si="0"/>
        <v>791.61250000000007</v>
      </c>
      <c r="Q29" s="436"/>
      <c r="R29" s="261">
        <f t="shared" ref="R29:R39" si="3">P29/$P$33</f>
        <v>0.846644385026738</v>
      </c>
      <c r="S29" s="236">
        <f>R29/2</f>
        <v>0.423322192513369</v>
      </c>
      <c r="T29" s="329"/>
      <c r="U29" s="321">
        <f t="shared" ref="U29:U31" si="4">P29/$T$33</f>
        <v>0.87041397888872607</v>
      </c>
      <c r="V29" s="322">
        <v>0.5</v>
      </c>
    </row>
    <row r="30" spans="4:23">
      <c r="D30" s="233">
        <v>8.3333333333333329E-2</v>
      </c>
      <c r="E30" s="230" t="s">
        <v>155</v>
      </c>
      <c r="F30" s="248">
        <v>158.4</v>
      </c>
      <c r="G30" s="249">
        <v>1050</v>
      </c>
      <c r="H30" s="248">
        <v>212</v>
      </c>
      <c r="I30" s="249">
        <v>1209.3</v>
      </c>
      <c r="J30" s="248">
        <v>933.1</v>
      </c>
      <c r="K30" s="237">
        <v>1161.9000000000001</v>
      </c>
      <c r="L30" s="247">
        <v>1173</v>
      </c>
      <c r="M30" s="237"/>
      <c r="N30" s="247">
        <v>1039.5999999999999</v>
      </c>
      <c r="O30" s="237"/>
      <c r="P30" s="254">
        <f t="shared" si="0"/>
        <v>867.16250000000014</v>
      </c>
      <c r="Q30" s="436"/>
      <c r="R30" s="261">
        <f t="shared" si="3"/>
        <v>0.92744652406417127</v>
      </c>
      <c r="S30" s="236">
        <f t="shared" ref="S30:S34" si="5">R30</f>
        <v>0.92744652406417127</v>
      </c>
      <c r="T30" s="329"/>
      <c r="U30" s="321">
        <f t="shared" si="4"/>
        <v>0.95348464301422087</v>
      </c>
      <c r="V30" s="322">
        <v>1</v>
      </c>
    </row>
    <row r="31" spans="4:23">
      <c r="D31" s="233">
        <v>0.125</v>
      </c>
      <c r="E31" s="230" t="s">
        <v>155</v>
      </c>
      <c r="F31" s="248">
        <v>154.1</v>
      </c>
      <c r="G31" s="249">
        <v>1051.7</v>
      </c>
      <c r="H31" s="248">
        <v>227.1</v>
      </c>
      <c r="I31" s="249">
        <v>1241.7</v>
      </c>
      <c r="J31" s="248">
        <v>916.4</v>
      </c>
      <c r="K31" s="237">
        <v>1233.3</v>
      </c>
      <c r="L31" s="247">
        <v>1314.3</v>
      </c>
      <c r="M31" s="237"/>
      <c r="N31" s="247">
        <v>1014.3</v>
      </c>
      <c r="O31" s="237"/>
      <c r="P31" s="254">
        <f t="shared" si="0"/>
        <v>894.11249999999995</v>
      </c>
      <c r="Q31" s="436"/>
      <c r="R31" s="261">
        <f t="shared" si="3"/>
        <v>0.95627005347593574</v>
      </c>
      <c r="S31" s="236">
        <f t="shared" si="5"/>
        <v>0.95627005347593574</v>
      </c>
      <c r="T31" s="329"/>
      <c r="U31" s="321">
        <f t="shared" si="4"/>
        <v>0.98311739481014504</v>
      </c>
      <c r="V31" s="322">
        <v>1</v>
      </c>
    </row>
    <row r="32" spans="4:23">
      <c r="D32" s="233">
        <v>0.16666666666666666</v>
      </c>
      <c r="E32" s="230" t="s">
        <v>155</v>
      </c>
      <c r="F32" s="248">
        <v>150.1</v>
      </c>
      <c r="G32" s="249">
        <v>1084.4000000000001</v>
      </c>
      <c r="H32" s="248">
        <v>240.4</v>
      </c>
      <c r="I32" s="249">
        <v>1259.3</v>
      </c>
      <c r="J32" s="248">
        <v>941.6</v>
      </c>
      <c r="K32" s="237">
        <v>1234.5999999999999</v>
      </c>
      <c r="L32" s="247">
        <v>1344</v>
      </c>
      <c r="M32" s="237"/>
      <c r="N32" s="247">
        <v>1044.9000000000001</v>
      </c>
      <c r="O32" s="237"/>
      <c r="P32" s="254">
        <f t="shared" si="0"/>
        <v>912.41250000000014</v>
      </c>
      <c r="Q32" s="436"/>
      <c r="R32" s="261">
        <f t="shared" si="3"/>
        <v>0.97584224598930491</v>
      </c>
      <c r="S32" s="236">
        <f t="shared" si="5"/>
        <v>0.97584224598930491</v>
      </c>
      <c r="T32" s="326"/>
      <c r="U32" s="323"/>
      <c r="V32" s="237"/>
    </row>
    <row r="33" spans="4:23">
      <c r="D33" s="235">
        <v>0.20833333333333334</v>
      </c>
      <c r="E33" s="241" t="s">
        <v>155</v>
      </c>
      <c r="F33" s="248">
        <v>149.9</v>
      </c>
      <c r="G33" s="249">
        <v>1086.7</v>
      </c>
      <c r="H33" s="248">
        <v>255.9</v>
      </c>
      <c r="I33" s="249">
        <v>1272.7</v>
      </c>
      <c r="J33" s="248">
        <v>965.9</v>
      </c>
      <c r="K33" s="237">
        <v>1282.3</v>
      </c>
      <c r="L33" s="247">
        <v>1397.7</v>
      </c>
      <c r="M33" s="237"/>
      <c r="N33" s="247">
        <v>1068.9000000000001</v>
      </c>
      <c r="O33" s="237"/>
      <c r="P33" s="255">
        <f t="shared" si="0"/>
        <v>935</v>
      </c>
      <c r="Q33" s="436"/>
      <c r="R33" s="261">
        <f t="shared" si="3"/>
        <v>1</v>
      </c>
      <c r="S33" s="236">
        <f t="shared" si="5"/>
        <v>1</v>
      </c>
      <c r="T33" s="327">
        <f>AVERAGE(P32:P34)</f>
        <v>909.4666666666667</v>
      </c>
      <c r="U33" s="323"/>
      <c r="V33" s="237"/>
      <c r="W33" s="330">
        <f>SUM(V28:V39)/9</f>
        <v>0.3888888888888889</v>
      </c>
    </row>
    <row r="34" spans="4:23">
      <c r="D34" s="233">
        <v>0.25</v>
      </c>
      <c r="E34" s="230" t="s">
        <v>155</v>
      </c>
      <c r="F34" s="248">
        <v>144.69999999999999</v>
      </c>
      <c r="G34" s="249">
        <v>994</v>
      </c>
      <c r="H34" s="248">
        <v>189.1</v>
      </c>
      <c r="I34" s="249">
        <v>1330.7</v>
      </c>
      <c r="J34" s="248">
        <v>934.7</v>
      </c>
      <c r="K34" s="237">
        <v>1175.4000000000001</v>
      </c>
      <c r="L34" s="247">
        <v>1242</v>
      </c>
      <c r="M34" s="237"/>
      <c r="N34" s="247">
        <v>1037.3</v>
      </c>
      <c r="O34" s="237"/>
      <c r="P34" s="254">
        <f t="shared" si="0"/>
        <v>880.98749999999995</v>
      </c>
      <c r="Q34" s="436"/>
      <c r="R34" s="261">
        <f t="shared" si="3"/>
        <v>0.94223262032085553</v>
      </c>
      <c r="S34" s="236">
        <f t="shared" si="5"/>
        <v>0.94223262032085553</v>
      </c>
      <c r="T34" s="328"/>
      <c r="U34" s="323"/>
      <c r="V34" s="237"/>
    </row>
    <row r="35" spans="4:23">
      <c r="D35" s="233">
        <v>0.29166666666666669</v>
      </c>
      <c r="E35" s="230" t="s">
        <v>155</v>
      </c>
      <c r="F35" s="247">
        <v>97</v>
      </c>
      <c r="G35" s="237">
        <v>790.6</v>
      </c>
      <c r="H35" s="247">
        <v>144</v>
      </c>
      <c r="I35" s="237">
        <v>1148</v>
      </c>
      <c r="J35" s="247">
        <v>755.9</v>
      </c>
      <c r="K35" s="237">
        <v>1011.3</v>
      </c>
      <c r="L35" s="247">
        <v>926</v>
      </c>
      <c r="M35" s="237"/>
      <c r="N35" s="247">
        <v>827.6</v>
      </c>
      <c r="O35" s="237"/>
      <c r="P35" s="254">
        <f t="shared" si="0"/>
        <v>712.55</v>
      </c>
      <c r="Q35" s="436"/>
      <c r="R35" s="261">
        <f t="shared" si="3"/>
        <v>0.7620855614973262</v>
      </c>
      <c r="S35" s="236">
        <f>R35/2</f>
        <v>0.3810427807486631</v>
      </c>
      <c r="T35" s="247"/>
      <c r="U35" s="321">
        <f t="shared" ref="U35:U39" si="6">P35/$T$33</f>
        <v>0.78348116112007027</v>
      </c>
      <c r="V35" s="322">
        <v>0.5</v>
      </c>
    </row>
    <row r="36" spans="4:23">
      <c r="D36" s="233">
        <v>0.33333333333333331</v>
      </c>
      <c r="E36" s="230" t="s">
        <v>155</v>
      </c>
      <c r="F36" s="247">
        <v>77.7</v>
      </c>
      <c r="G36" s="237">
        <v>649.70000000000005</v>
      </c>
      <c r="H36" s="247">
        <v>98.4</v>
      </c>
      <c r="I36" s="237">
        <v>867.7</v>
      </c>
      <c r="J36" s="247">
        <v>588.6</v>
      </c>
      <c r="K36" s="237">
        <v>803.1</v>
      </c>
      <c r="L36" s="247">
        <v>761.4</v>
      </c>
      <c r="M36" s="237"/>
      <c r="N36" s="247">
        <v>667.6</v>
      </c>
      <c r="O36" s="237"/>
      <c r="P36" s="254">
        <f t="shared" si="0"/>
        <v>564.27499999999998</v>
      </c>
      <c r="Q36" s="436"/>
      <c r="R36" s="261">
        <f t="shared" si="3"/>
        <v>0.60350267379679146</v>
      </c>
      <c r="S36" s="237">
        <v>0</v>
      </c>
      <c r="T36" s="247"/>
      <c r="U36" s="321">
        <f t="shared" si="6"/>
        <v>0.62044604896642719</v>
      </c>
      <c r="V36" s="322">
        <v>0</v>
      </c>
    </row>
    <row r="37" spans="4:23">
      <c r="D37" s="233">
        <v>0.375</v>
      </c>
      <c r="E37" s="230" t="s">
        <v>155</v>
      </c>
      <c r="F37" s="247">
        <v>68.3</v>
      </c>
      <c r="G37" s="237">
        <v>549.70000000000005</v>
      </c>
      <c r="H37" s="247">
        <v>78.7</v>
      </c>
      <c r="I37" s="237">
        <v>795.7</v>
      </c>
      <c r="J37" s="247">
        <v>491.9</v>
      </c>
      <c r="K37" s="237">
        <v>740.3</v>
      </c>
      <c r="L37" s="247">
        <v>647.1</v>
      </c>
      <c r="M37" s="237"/>
      <c r="N37" s="247">
        <v>598.1</v>
      </c>
      <c r="O37" s="237"/>
      <c r="P37" s="254">
        <f t="shared" si="0"/>
        <v>496.22499999999997</v>
      </c>
      <c r="Q37" s="436"/>
      <c r="R37" s="261">
        <f t="shared" si="3"/>
        <v>0.53072192513368976</v>
      </c>
      <c r="S37" s="237">
        <v>0</v>
      </c>
      <c r="T37" s="247"/>
      <c r="U37" s="321">
        <f t="shared" si="6"/>
        <v>0.54562197624981668</v>
      </c>
      <c r="V37" s="322">
        <v>0</v>
      </c>
    </row>
    <row r="38" spans="4:23">
      <c r="D38" s="233">
        <v>0.41666666666666669</v>
      </c>
      <c r="E38" s="230" t="s">
        <v>155</v>
      </c>
      <c r="F38" s="247">
        <v>48</v>
      </c>
      <c r="G38" s="237">
        <v>384.7</v>
      </c>
      <c r="H38" s="247">
        <v>54.7</v>
      </c>
      <c r="I38" s="237">
        <v>590</v>
      </c>
      <c r="J38" s="247">
        <v>351.3</v>
      </c>
      <c r="K38" s="237">
        <v>541.6</v>
      </c>
      <c r="L38" s="247">
        <v>454.9</v>
      </c>
      <c r="M38" s="237"/>
      <c r="N38" s="247">
        <v>428.7</v>
      </c>
      <c r="O38" s="237"/>
      <c r="P38" s="254">
        <f t="shared" si="0"/>
        <v>356.73750000000001</v>
      </c>
      <c r="Q38" s="436"/>
      <c r="R38" s="261">
        <f t="shared" si="3"/>
        <v>0.38153743315508021</v>
      </c>
      <c r="S38" s="237">
        <v>0</v>
      </c>
      <c r="T38" s="247"/>
      <c r="U38" s="321">
        <f t="shared" si="6"/>
        <v>0.39224912036358306</v>
      </c>
      <c r="V38" s="322">
        <v>0</v>
      </c>
    </row>
    <row r="39" spans="4:23">
      <c r="D39" s="238">
        <v>0.45833333333333331</v>
      </c>
      <c r="E39" s="242" t="s">
        <v>155</v>
      </c>
      <c r="F39" s="250">
        <v>37.6</v>
      </c>
      <c r="G39" s="239">
        <v>239.9</v>
      </c>
      <c r="H39" s="250">
        <v>36</v>
      </c>
      <c r="I39" s="239">
        <v>421.3</v>
      </c>
      <c r="J39" s="250">
        <v>211.9</v>
      </c>
      <c r="K39" s="239">
        <v>366.7</v>
      </c>
      <c r="L39" s="250">
        <v>273.7</v>
      </c>
      <c r="M39" s="239"/>
      <c r="N39" s="250">
        <v>284.3</v>
      </c>
      <c r="O39" s="239"/>
      <c r="P39" s="257">
        <f t="shared" si="0"/>
        <v>233.92500000000004</v>
      </c>
      <c r="Q39" s="437"/>
      <c r="R39" s="262">
        <f t="shared" si="3"/>
        <v>0.25018716577540112</v>
      </c>
      <c r="S39" s="239">
        <v>0</v>
      </c>
      <c r="T39" s="250"/>
      <c r="U39" s="324">
        <f t="shared" si="6"/>
        <v>0.25721118604310222</v>
      </c>
      <c r="V39" s="325">
        <v>0</v>
      </c>
    </row>
    <row r="40" spans="4:23" hidden="1">
      <c r="D40" s="219"/>
    </row>
    <row r="41" spans="4:23" hidden="1">
      <c r="D41" s="219" t="s">
        <v>240</v>
      </c>
    </row>
    <row r="42" spans="4:23" hidden="1">
      <c r="D42" t="s">
        <v>227</v>
      </c>
    </row>
    <row r="43" spans="4:23" hidden="1">
      <c r="F43" s="429" t="s">
        <v>241</v>
      </c>
      <c r="G43" s="429"/>
      <c r="H43" s="429" t="s">
        <v>242</v>
      </c>
      <c r="I43" s="429"/>
      <c r="J43" s="429" t="s">
        <v>243</v>
      </c>
      <c r="K43" s="429"/>
      <c r="L43" s="429" t="s">
        <v>244</v>
      </c>
      <c r="M43" s="429"/>
      <c r="N43" s="429" t="s">
        <v>245</v>
      </c>
      <c r="O43" s="429"/>
      <c r="P43" s="429" t="s">
        <v>246</v>
      </c>
      <c r="Q43" s="429"/>
      <c r="R43" s="429" t="s">
        <v>247</v>
      </c>
      <c r="S43" s="429"/>
      <c r="T43" s="429" t="s">
        <v>248</v>
      </c>
      <c r="U43" s="429"/>
      <c r="V43" s="429" t="s">
        <v>226</v>
      </c>
      <c r="W43" s="429"/>
    </row>
    <row r="44" spans="4:23" hidden="1">
      <c r="F44" s="438">
        <v>43020</v>
      </c>
      <c r="G44" s="438"/>
      <c r="H44" s="438"/>
      <c r="I44" s="438"/>
      <c r="J44" s="438"/>
      <c r="K44" s="438"/>
      <c r="L44" s="438"/>
      <c r="M44" s="438"/>
      <c r="N44" s="438"/>
      <c r="O44" s="438"/>
      <c r="P44" s="438"/>
      <c r="Q44" s="438"/>
      <c r="R44" s="438"/>
      <c r="S44" s="438"/>
      <c r="T44" s="438"/>
      <c r="U44" s="438"/>
      <c r="V44" s="438"/>
      <c r="W44" s="438"/>
    </row>
    <row r="45" spans="4:23" hidden="1">
      <c r="F45" s="220" t="s">
        <v>238</v>
      </c>
      <c r="G45" s="220" t="s">
        <v>239</v>
      </c>
      <c r="H45" s="220" t="s">
        <v>238</v>
      </c>
      <c r="I45" s="220" t="s">
        <v>239</v>
      </c>
      <c r="J45" s="220" t="s">
        <v>238</v>
      </c>
      <c r="K45" s="220" t="s">
        <v>239</v>
      </c>
      <c r="L45" s="220" t="s">
        <v>238</v>
      </c>
      <c r="M45" s="220" t="s">
        <v>239</v>
      </c>
      <c r="N45" s="220" t="s">
        <v>238</v>
      </c>
      <c r="O45" s="220" t="s">
        <v>239</v>
      </c>
      <c r="P45" s="220" t="s">
        <v>238</v>
      </c>
      <c r="Q45" s="220" t="s">
        <v>239</v>
      </c>
      <c r="R45" s="220" t="s">
        <v>238</v>
      </c>
      <c r="S45" s="220" t="s">
        <v>239</v>
      </c>
      <c r="T45" s="220" t="s">
        <v>238</v>
      </c>
      <c r="U45" s="220" t="s">
        <v>239</v>
      </c>
      <c r="V45" s="220" t="s">
        <v>238</v>
      </c>
      <c r="W45" s="220" t="s">
        <v>239</v>
      </c>
    </row>
    <row r="46" spans="4:23" hidden="1">
      <c r="D46" s="221">
        <v>0.5</v>
      </c>
      <c r="E46" t="s">
        <v>156</v>
      </c>
      <c r="F46">
        <v>4</v>
      </c>
      <c r="G46">
        <v>101</v>
      </c>
      <c r="H46">
        <v>12</v>
      </c>
      <c r="I46">
        <v>142</v>
      </c>
      <c r="J46">
        <v>12</v>
      </c>
      <c r="K46">
        <v>208</v>
      </c>
      <c r="L46">
        <v>22</v>
      </c>
      <c r="M46">
        <v>233</v>
      </c>
      <c r="N46">
        <v>15</v>
      </c>
      <c r="O46">
        <v>100</v>
      </c>
      <c r="P46">
        <v>9</v>
      </c>
      <c r="Q46">
        <v>94</v>
      </c>
      <c r="R46">
        <v>8</v>
      </c>
      <c r="S46">
        <v>107</v>
      </c>
      <c r="T46">
        <v>9.6</v>
      </c>
      <c r="U46">
        <v>108.8</v>
      </c>
      <c r="V46">
        <v>11.7</v>
      </c>
      <c r="W46">
        <v>140.69999999999999</v>
      </c>
    </row>
    <row r="47" spans="4:23" hidden="1">
      <c r="D47" s="221">
        <v>4.1666666666666664E-2</v>
      </c>
      <c r="E47" t="s">
        <v>156</v>
      </c>
      <c r="F47">
        <v>12</v>
      </c>
      <c r="G47">
        <v>81</v>
      </c>
      <c r="H47">
        <v>10</v>
      </c>
      <c r="I47">
        <v>80</v>
      </c>
      <c r="J47">
        <v>9</v>
      </c>
      <c r="K47">
        <v>130</v>
      </c>
      <c r="L47">
        <v>17</v>
      </c>
      <c r="M47">
        <v>164</v>
      </c>
      <c r="N47">
        <v>8</v>
      </c>
      <c r="O47">
        <v>86</v>
      </c>
      <c r="P47">
        <v>11</v>
      </c>
      <c r="Q47">
        <v>68</v>
      </c>
      <c r="R47">
        <v>6</v>
      </c>
      <c r="S47">
        <v>68</v>
      </c>
      <c r="T47">
        <v>9.4</v>
      </c>
      <c r="U47">
        <v>76.599999999999994</v>
      </c>
      <c r="V47">
        <v>10.4</v>
      </c>
      <c r="W47">
        <v>96.7</v>
      </c>
    </row>
    <row r="48" spans="4:23" hidden="1">
      <c r="D48" s="221">
        <v>8.3333333333333329E-2</v>
      </c>
      <c r="E48" t="s">
        <v>156</v>
      </c>
      <c r="F48">
        <v>2</v>
      </c>
      <c r="G48">
        <v>58</v>
      </c>
      <c r="H48">
        <v>4</v>
      </c>
      <c r="I48">
        <v>65</v>
      </c>
      <c r="J48">
        <v>9</v>
      </c>
      <c r="K48">
        <v>126</v>
      </c>
      <c r="L48">
        <v>6</v>
      </c>
      <c r="M48">
        <v>137</v>
      </c>
      <c r="N48">
        <v>3</v>
      </c>
      <c r="O48">
        <v>44</v>
      </c>
      <c r="P48">
        <v>10</v>
      </c>
      <c r="Q48">
        <v>52</v>
      </c>
      <c r="R48">
        <v>8</v>
      </c>
      <c r="S48">
        <v>60</v>
      </c>
      <c r="T48">
        <v>5.4</v>
      </c>
      <c r="U48">
        <v>55.8</v>
      </c>
      <c r="V48">
        <v>6</v>
      </c>
      <c r="W48">
        <v>77.400000000000006</v>
      </c>
    </row>
    <row r="49" spans="4:23" hidden="1">
      <c r="D49" s="221">
        <v>0.125</v>
      </c>
      <c r="E49" t="s">
        <v>156</v>
      </c>
      <c r="F49">
        <v>9</v>
      </c>
      <c r="G49">
        <v>42</v>
      </c>
      <c r="H49">
        <v>11</v>
      </c>
      <c r="I49">
        <v>48</v>
      </c>
      <c r="J49">
        <v>7</v>
      </c>
      <c r="K49">
        <v>82</v>
      </c>
      <c r="L49">
        <v>20</v>
      </c>
      <c r="M49">
        <v>67</v>
      </c>
      <c r="N49">
        <v>10</v>
      </c>
      <c r="O49">
        <v>44</v>
      </c>
      <c r="P49">
        <v>18</v>
      </c>
      <c r="Q49">
        <v>56</v>
      </c>
      <c r="R49">
        <v>11</v>
      </c>
      <c r="S49">
        <v>54</v>
      </c>
      <c r="T49">
        <v>11.8</v>
      </c>
      <c r="U49">
        <v>48.8</v>
      </c>
      <c r="V49">
        <v>12.3</v>
      </c>
      <c r="W49">
        <v>56.1</v>
      </c>
    </row>
    <row r="50" spans="4:23" hidden="1">
      <c r="D50" s="221">
        <v>0.16666666666666666</v>
      </c>
      <c r="E50" t="s">
        <v>156</v>
      </c>
      <c r="F50">
        <v>47</v>
      </c>
      <c r="G50">
        <v>124</v>
      </c>
      <c r="H50">
        <v>42</v>
      </c>
      <c r="I50">
        <v>120</v>
      </c>
      <c r="J50">
        <v>6</v>
      </c>
      <c r="K50">
        <v>60</v>
      </c>
      <c r="L50">
        <v>13</v>
      </c>
      <c r="M50">
        <v>54</v>
      </c>
      <c r="N50">
        <v>41</v>
      </c>
      <c r="O50">
        <v>111</v>
      </c>
      <c r="P50">
        <v>42</v>
      </c>
      <c r="Q50">
        <v>120</v>
      </c>
      <c r="R50">
        <v>46</v>
      </c>
      <c r="S50">
        <v>118</v>
      </c>
      <c r="T50">
        <v>43.6</v>
      </c>
      <c r="U50">
        <v>118.6</v>
      </c>
      <c r="V50">
        <v>33.9</v>
      </c>
      <c r="W50">
        <v>101</v>
      </c>
    </row>
    <row r="51" spans="4:23" hidden="1">
      <c r="D51" s="221">
        <v>0.20833333333333334</v>
      </c>
      <c r="E51" t="s">
        <v>156</v>
      </c>
      <c r="F51">
        <v>125</v>
      </c>
      <c r="G51">
        <v>263</v>
      </c>
      <c r="H51">
        <v>108</v>
      </c>
      <c r="I51">
        <v>220</v>
      </c>
      <c r="J51">
        <v>22</v>
      </c>
      <c r="K51">
        <v>93</v>
      </c>
      <c r="L51">
        <v>18</v>
      </c>
      <c r="M51">
        <v>84</v>
      </c>
      <c r="N51">
        <v>136</v>
      </c>
      <c r="O51">
        <v>266</v>
      </c>
      <c r="P51">
        <v>139</v>
      </c>
      <c r="Q51">
        <v>278</v>
      </c>
      <c r="R51">
        <v>138</v>
      </c>
      <c r="S51">
        <v>266</v>
      </c>
      <c r="T51">
        <v>129.19999999999999</v>
      </c>
      <c r="U51">
        <v>258.60000000000002</v>
      </c>
      <c r="V51">
        <v>98</v>
      </c>
      <c r="W51">
        <v>210</v>
      </c>
    </row>
    <row r="52" spans="4:23" hidden="1">
      <c r="D52" s="221">
        <v>0.25</v>
      </c>
      <c r="E52" t="s">
        <v>156</v>
      </c>
      <c r="F52">
        <v>424</v>
      </c>
      <c r="G52">
        <v>462</v>
      </c>
      <c r="H52">
        <v>342</v>
      </c>
      <c r="I52">
        <v>460</v>
      </c>
      <c r="J52">
        <v>56</v>
      </c>
      <c r="K52">
        <v>204</v>
      </c>
      <c r="L52">
        <v>44</v>
      </c>
      <c r="M52">
        <v>175</v>
      </c>
      <c r="N52">
        <v>418</v>
      </c>
      <c r="O52">
        <v>474</v>
      </c>
      <c r="P52">
        <v>456</v>
      </c>
      <c r="Q52">
        <v>445</v>
      </c>
      <c r="R52">
        <v>450</v>
      </c>
      <c r="S52">
        <v>439</v>
      </c>
      <c r="T52">
        <v>418</v>
      </c>
      <c r="U52">
        <v>456</v>
      </c>
      <c r="V52">
        <v>312.89999999999998</v>
      </c>
      <c r="W52">
        <v>379.9</v>
      </c>
    </row>
    <row r="53" spans="4:23" hidden="1">
      <c r="D53" s="221">
        <v>0.29166666666666669</v>
      </c>
      <c r="E53" t="s">
        <v>156</v>
      </c>
      <c r="F53">
        <v>640</v>
      </c>
      <c r="G53">
        <v>672</v>
      </c>
      <c r="H53">
        <v>525</v>
      </c>
      <c r="I53">
        <v>619</v>
      </c>
      <c r="J53">
        <v>105</v>
      </c>
      <c r="K53">
        <v>352</v>
      </c>
      <c r="L53">
        <v>64</v>
      </c>
      <c r="M53">
        <v>242</v>
      </c>
      <c r="N53">
        <v>613</v>
      </c>
      <c r="O53">
        <v>663</v>
      </c>
      <c r="P53">
        <v>516</v>
      </c>
      <c r="Q53">
        <v>642</v>
      </c>
      <c r="R53">
        <v>632</v>
      </c>
      <c r="S53">
        <v>680</v>
      </c>
      <c r="T53">
        <v>585.20000000000005</v>
      </c>
      <c r="U53">
        <v>655.20000000000005</v>
      </c>
      <c r="V53" s="224">
        <v>442.1</v>
      </c>
      <c r="W53">
        <v>552.9</v>
      </c>
    </row>
    <row r="54" spans="4:23" hidden="1">
      <c r="D54" s="221">
        <v>0.33333333333333331</v>
      </c>
      <c r="E54" t="s">
        <v>156</v>
      </c>
      <c r="F54">
        <v>480</v>
      </c>
      <c r="G54">
        <v>693</v>
      </c>
      <c r="H54">
        <v>340</v>
      </c>
      <c r="I54">
        <v>666</v>
      </c>
      <c r="J54">
        <v>145</v>
      </c>
      <c r="K54">
        <v>626</v>
      </c>
      <c r="L54">
        <v>97</v>
      </c>
      <c r="M54">
        <v>434</v>
      </c>
      <c r="N54">
        <v>454</v>
      </c>
      <c r="O54">
        <v>694</v>
      </c>
      <c r="P54">
        <v>557</v>
      </c>
      <c r="Q54">
        <v>694</v>
      </c>
      <c r="R54">
        <v>547</v>
      </c>
      <c r="S54">
        <v>682</v>
      </c>
      <c r="T54">
        <v>475.6</v>
      </c>
      <c r="U54">
        <v>685.8</v>
      </c>
      <c r="V54">
        <v>374.3</v>
      </c>
      <c r="W54" s="224">
        <v>641.29999999999995</v>
      </c>
    </row>
    <row r="55" spans="4:23" hidden="1">
      <c r="D55" s="221">
        <v>0.375</v>
      </c>
      <c r="E55" t="s">
        <v>156</v>
      </c>
      <c r="F55">
        <v>254</v>
      </c>
      <c r="G55">
        <v>610</v>
      </c>
      <c r="H55">
        <v>219</v>
      </c>
      <c r="I55">
        <v>708</v>
      </c>
      <c r="J55">
        <v>173</v>
      </c>
      <c r="K55">
        <v>817</v>
      </c>
      <c r="L55">
        <v>168</v>
      </c>
      <c r="M55">
        <v>708</v>
      </c>
      <c r="N55">
        <v>222</v>
      </c>
      <c r="O55">
        <v>632</v>
      </c>
      <c r="P55">
        <v>265</v>
      </c>
      <c r="Q55">
        <v>632</v>
      </c>
      <c r="R55">
        <v>241</v>
      </c>
      <c r="S55">
        <v>602</v>
      </c>
      <c r="T55">
        <v>240.2</v>
      </c>
      <c r="U55">
        <v>636.79999999999995</v>
      </c>
      <c r="V55">
        <v>220.3</v>
      </c>
      <c r="W55">
        <v>672.7</v>
      </c>
    </row>
    <row r="56" spans="4:23" hidden="1">
      <c r="D56" s="221">
        <v>0.41666666666666669</v>
      </c>
      <c r="E56" t="s">
        <v>156</v>
      </c>
      <c r="F56">
        <v>155</v>
      </c>
      <c r="G56">
        <v>676</v>
      </c>
      <c r="H56">
        <v>170</v>
      </c>
      <c r="I56">
        <v>794</v>
      </c>
      <c r="J56">
        <v>196</v>
      </c>
      <c r="K56">
        <v>1019</v>
      </c>
      <c r="L56">
        <v>162</v>
      </c>
      <c r="M56">
        <v>827</v>
      </c>
      <c r="N56">
        <v>150</v>
      </c>
      <c r="O56">
        <v>672</v>
      </c>
      <c r="P56">
        <v>172</v>
      </c>
      <c r="Q56">
        <v>680</v>
      </c>
      <c r="R56">
        <v>162</v>
      </c>
      <c r="S56">
        <v>721</v>
      </c>
      <c r="T56">
        <v>161.80000000000001</v>
      </c>
      <c r="U56">
        <v>708.6</v>
      </c>
      <c r="V56">
        <v>166.7</v>
      </c>
      <c r="W56">
        <v>769.9</v>
      </c>
    </row>
    <row r="57" spans="4:23" hidden="1">
      <c r="D57" s="221">
        <v>0.45833333333333331</v>
      </c>
      <c r="E57" t="s">
        <v>156</v>
      </c>
      <c r="F57">
        <v>150</v>
      </c>
      <c r="G57">
        <v>807</v>
      </c>
      <c r="H57">
        <v>162</v>
      </c>
      <c r="I57">
        <v>904</v>
      </c>
      <c r="J57">
        <v>178</v>
      </c>
      <c r="K57">
        <v>1042</v>
      </c>
      <c r="L57">
        <v>155</v>
      </c>
      <c r="M57">
        <v>945</v>
      </c>
      <c r="N57">
        <v>122</v>
      </c>
      <c r="O57">
        <v>754</v>
      </c>
      <c r="P57">
        <v>128</v>
      </c>
      <c r="Q57">
        <v>752</v>
      </c>
      <c r="R57">
        <v>132</v>
      </c>
      <c r="S57">
        <v>742</v>
      </c>
      <c r="T57">
        <v>138.80000000000001</v>
      </c>
      <c r="U57">
        <v>791.8</v>
      </c>
      <c r="V57">
        <v>146.69999999999999</v>
      </c>
      <c r="W57">
        <v>849.4</v>
      </c>
    </row>
    <row r="58" spans="4:23" hidden="1">
      <c r="D58" s="221">
        <v>0.5</v>
      </c>
      <c r="E58" t="s">
        <v>155</v>
      </c>
      <c r="F58">
        <v>146</v>
      </c>
      <c r="G58">
        <v>866</v>
      </c>
      <c r="H58">
        <v>177</v>
      </c>
      <c r="I58">
        <v>974</v>
      </c>
      <c r="J58">
        <v>170</v>
      </c>
      <c r="K58">
        <v>1194</v>
      </c>
      <c r="L58">
        <v>194</v>
      </c>
      <c r="M58">
        <v>1112</v>
      </c>
      <c r="N58">
        <v>131</v>
      </c>
      <c r="O58">
        <v>876</v>
      </c>
      <c r="P58">
        <v>148</v>
      </c>
      <c r="Q58">
        <v>796</v>
      </c>
      <c r="R58">
        <v>154</v>
      </c>
      <c r="S58">
        <v>838</v>
      </c>
      <c r="T58">
        <v>151.19999999999999</v>
      </c>
      <c r="U58">
        <v>870</v>
      </c>
      <c r="V58">
        <v>160</v>
      </c>
      <c r="W58">
        <v>950.9</v>
      </c>
    </row>
    <row r="59" spans="4:23" hidden="1">
      <c r="D59" s="221">
        <v>4.1666666666666664E-2</v>
      </c>
      <c r="E59" t="s">
        <v>155</v>
      </c>
      <c r="F59">
        <v>136</v>
      </c>
      <c r="G59">
        <v>890</v>
      </c>
      <c r="H59">
        <v>154</v>
      </c>
      <c r="I59">
        <v>1065</v>
      </c>
      <c r="J59">
        <v>183</v>
      </c>
      <c r="K59">
        <v>1172</v>
      </c>
      <c r="L59">
        <v>162</v>
      </c>
      <c r="M59">
        <v>1118</v>
      </c>
      <c r="N59">
        <v>120</v>
      </c>
      <c r="O59">
        <v>896</v>
      </c>
      <c r="P59">
        <v>134</v>
      </c>
      <c r="Q59">
        <v>876</v>
      </c>
      <c r="R59">
        <v>130</v>
      </c>
      <c r="S59">
        <v>901</v>
      </c>
      <c r="T59">
        <v>134.80000000000001</v>
      </c>
      <c r="U59">
        <v>925.6</v>
      </c>
      <c r="V59">
        <v>145.6</v>
      </c>
      <c r="W59">
        <v>988.3</v>
      </c>
    </row>
    <row r="60" spans="4:23" hidden="1">
      <c r="D60" s="221">
        <v>8.3333333333333329E-2</v>
      </c>
      <c r="E60" t="s">
        <v>155</v>
      </c>
      <c r="F60">
        <v>138</v>
      </c>
      <c r="G60">
        <v>974</v>
      </c>
      <c r="H60">
        <v>149</v>
      </c>
      <c r="I60">
        <v>1054</v>
      </c>
      <c r="J60">
        <v>198</v>
      </c>
      <c r="K60">
        <v>1202</v>
      </c>
      <c r="L60">
        <v>213</v>
      </c>
      <c r="M60">
        <v>1110</v>
      </c>
      <c r="N60">
        <v>150</v>
      </c>
      <c r="O60">
        <v>990</v>
      </c>
      <c r="P60">
        <v>124</v>
      </c>
      <c r="Q60">
        <v>1018</v>
      </c>
      <c r="R60">
        <v>137</v>
      </c>
      <c r="S60">
        <v>1002</v>
      </c>
      <c r="T60">
        <v>139.6</v>
      </c>
      <c r="U60">
        <v>1007.6</v>
      </c>
      <c r="V60">
        <v>158.4</v>
      </c>
      <c r="W60">
        <v>1050</v>
      </c>
    </row>
    <row r="61" spans="4:23" hidden="1">
      <c r="D61" s="221">
        <v>0.125</v>
      </c>
      <c r="E61" t="s">
        <v>155</v>
      </c>
      <c r="F61">
        <v>128</v>
      </c>
      <c r="G61">
        <v>1098</v>
      </c>
      <c r="H61">
        <v>151</v>
      </c>
      <c r="I61">
        <v>1018</v>
      </c>
      <c r="J61">
        <v>165</v>
      </c>
      <c r="K61">
        <v>1166</v>
      </c>
      <c r="L61">
        <v>180</v>
      </c>
      <c r="M61">
        <v>1032</v>
      </c>
      <c r="N61">
        <v>144</v>
      </c>
      <c r="O61">
        <v>1048</v>
      </c>
      <c r="P61">
        <v>170</v>
      </c>
      <c r="Q61">
        <v>1009</v>
      </c>
      <c r="R61">
        <v>141</v>
      </c>
      <c r="S61">
        <v>991</v>
      </c>
      <c r="T61">
        <v>146.80000000000001</v>
      </c>
      <c r="U61">
        <v>1032.8</v>
      </c>
      <c r="V61">
        <v>154.1</v>
      </c>
      <c r="W61">
        <v>1051.7</v>
      </c>
    </row>
    <row r="62" spans="4:23" hidden="1">
      <c r="D62" s="221">
        <v>0.16666666666666666</v>
      </c>
      <c r="E62" t="s">
        <v>155</v>
      </c>
      <c r="F62">
        <v>145</v>
      </c>
      <c r="G62">
        <v>1129</v>
      </c>
      <c r="H62">
        <v>172</v>
      </c>
      <c r="I62">
        <v>1058</v>
      </c>
      <c r="J62">
        <v>170</v>
      </c>
      <c r="K62">
        <v>1127</v>
      </c>
      <c r="L62">
        <v>152</v>
      </c>
      <c r="M62">
        <v>996</v>
      </c>
      <c r="N62">
        <v>118</v>
      </c>
      <c r="O62">
        <v>1059</v>
      </c>
      <c r="P62">
        <v>144</v>
      </c>
      <c r="Q62">
        <v>1142</v>
      </c>
      <c r="R62">
        <v>150</v>
      </c>
      <c r="S62">
        <v>1080</v>
      </c>
      <c r="T62">
        <v>145.80000000000001</v>
      </c>
      <c r="U62">
        <v>1093.5999999999999</v>
      </c>
      <c r="V62" s="224">
        <v>150.1</v>
      </c>
      <c r="W62">
        <v>1084.4000000000001</v>
      </c>
    </row>
    <row r="63" spans="4:23" hidden="1">
      <c r="D63" s="221">
        <v>0.20833333333333334</v>
      </c>
      <c r="E63" t="s">
        <v>155</v>
      </c>
      <c r="F63">
        <v>140</v>
      </c>
      <c r="G63">
        <v>1184</v>
      </c>
      <c r="H63">
        <v>163</v>
      </c>
      <c r="I63">
        <v>1078</v>
      </c>
      <c r="J63">
        <v>153</v>
      </c>
      <c r="K63">
        <v>1000</v>
      </c>
      <c r="L63">
        <v>140</v>
      </c>
      <c r="M63">
        <v>907</v>
      </c>
      <c r="N63">
        <v>157</v>
      </c>
      <c r="O63">
        <v>1184</v>
      </c>
      <c r="P63">
        <v>166</v>
      </c>
      <c r="Q63">
        <v>1176</v>
      </c>
      <c r="R63">
        <v>130</v>
      </c>
      <c r="S63">
        <v>1078</v>
      </c>
      <c r="T63">
        <v>151.19999999999999</v>
      </c>
      <c r="U63">
        <v>1140</v>
      </c>
      <c r="V63">
        <v>149.9</v>
      </c>
      <c r="W63" s="224">
        <v>1086.7</v>
      </c>
    </row>
    <row r="64" spans="4:23" hidden="1">
      <c r="D64" s="221">
        <v>0.25</v>
      </c>
      <c r="E64" t="s">
        <v>155</v>
      </c>
      <c r="F64">
        <v>146</v>
      </c>
      <c r="G64">
        <v>999</v>
      </c>
      <c r="H64">
        <v>166</v>
      </c>
      <c r="I64">
        <v>1108</v>
      </c>
      <c r="J64">
        <v>187</v>
      </c>
      <c r="K64">
        <v>984</v>
      </c>
      <c r="L64">
        <v>132</v>
      </c>
      <c r="M64">
        <v>840</v>
      </c>
      <c r="N64">
        <v>130</v>
      </c>
      <c r="O64">
        <v>1001</v>
      </c>
      <c r="P64">
        <v>130</v>
      </c>
      <c r="Q64">
        <v>982</v>
      </c>
      <c r="R64">
        <v>122</v>
      </c>
      <c r="S64">
        <v>1044</v>
      </c>
      <c r="T64">
        <v>138.80000000000001</v>
      </c>
      <c r="U64">
        <v>1026.8</v>
      </c>
      <c r="V64">
        <v>144.69999999999999</v>
      </c>
      <c r="W64">
        <v>994</v>
      </c>
    </row>
    <row r="65" spans="4:23" hidden="1">
      <c r="D65" s="221">
        <v>0.29166666666666669</v>
      </c>
      <c r="E65" t="s">
        <v>155</v>
      </c>
      <c r="F65">
        <v>118</v>
      </c>
      <c r="G65">
        <v>758</v>
      </c>
      <c r="H65">
        <v>108</v>
      </c>
      <c r="I65">
        <v>858</v>
      </c>
      <c r="J65">
        <v>119</v>
      </c>
      <c r="K65">
        <v>740</v>
      </c>
      <c r="L65">
        <v>74</v>
      </c>
      <c r="M65">
        <v>766</v>
      </c>
      <c r="N65">
        <v>85</v>
      </c>
      <c r="O65">
        <v>799</v>
      </c>
      <c r="P65">
        <v>86</v>
      </c>
      <c r="Q65">
        <v>799</v>
      </c>
      <c r="R65">
        <v>89</v>
      </c>
      <c r="S65">
        <v>814</v>
      </c>
      <c r="T65">
        <v>97.2</v>
      </c>
      <c r="U65">
        <v>805.6</v>
      </c>
      <c r="V65">
        <v>97</v>
      </c>
      <c r="W65">
        <v>790.6</v>
      </c>
    </row>
    <row r="66" spans="4:23" hidden="1">
      <c r="D66" s="221">
        <v>0.33333333333333331</v>
      </c>
      <c r="E66" t="s">
        <v>155</v>
      </c>
      <c r="F66">
        <v>72</v>
      </c>
      <c r="G66">
        <v>688</v>
      </c>
      <c r="H66">
        <v>78</v>
      </c>
      <c r="I66">
        <v>696</v>
      </c>
      <c r="J66">
        <v>91</v>
      </c>
      <c r="K66">
        <v>628</v>
      </c>
      <c r="L66">
        <v>78</v>
      </c>
      <c r="M66">
        <v>596</v>
      </c>
      <c r="N66">
        <v>76</v>
      </c>
      <c r="O66">
        <v>614</v>
      </c>
      <c r="P66">
        <v>80</v>
      </c>
      <c r="Q66">
        <v>664</v>
      </c>
      <c r="R66">
        <v>69</v>
      </c>
      <c r="S66">
        <v>662</v>
      </c>
      <c r="T66">
        <v>75</v>
      </c>
      <c r="U66">
        <v>664.8</v>
      </c>
      <c r="V66">
        <v>77.7</v>
      </c>
      <c r="W66">
        <v>649.70000000000005</v>
      </c>
    </row>
    <row r="67" spans="4:23" hidden="1">
      <c r="D67" s="221">
        <v>0.375</v>
      </c>
      <c r="E67" t="s">
        <v>155</v>
      </c>
      <c r="F67">
        <v>56</v>
      </c>
      <c r="G67">
        <v>598</v>
      </c>
      <c r="H67">
        <v>99</v>
      </c>
      <c r="I67">
        <v>672</v>
      </c>
      <c r="J67">
        <v>107</v>
      </c>
      <c r="K67">
        <v>589</v>
      </c>
      <c r="L67">
        <v>49</v>
      </c>
      <c r="M67">
        <v>419</v>
      </c>
      <c r="N67">
        <v>51</v>
      </c>
      <c r="O67">
        <v>504</v>
      </c>
      <c r="P67">
        <v>52</v>
      </c>
      <c r="Q67">
        <v>558</v>
      </c>
      <c r="R67">
        <v>64</v>
      </c>
      <c r="S67">
        <v>508</v>
      </c>
      <c r="T67">
        <v>64.400000000000006</v>
      </c>
      <c r="U67">
        <v>568</v>
      </c>
      <c r="V67">
        <v>68.3</v>
      </c>
      <c r="W67">
        <v>549.70000000000005</v>
      </c>
    </row>
    <row r="68" spans="4:23" hidden="1">
      <c r="D68" s="221">
        <v>0.41666666666666669</v>
      </c>
      <c r="E68" t="s">
        <v>155</v>
      </c>
      <c r="F68">
        <v>39</v>
      </c>
      <c r="G68">
        <v>386</v>
      </c>
      <c r="H68">
        <v>62</v>
      </c>
      <c r="I68">
        <v>468</v>
      </c>
      <c r="J68">
        <v>63</v>
      </c>
      <c r="K68">
        <v>508</v>
      </c>
      <c r="L68">
        <v>47</v>
      </c>
      <c r="M68">
        <v>289</v>
      </c>
      <c r="N68">
        <v>23</v>
      </c>
      <c r="O68">
        <v>328</v>
      </c>
      <c r="P68">
        <v>55</v>
      </c>
      <c r="Q68">
        <v>351</v>
      </c>
      <c r="R68">
        <v>47</v>
      </c>
      <c r="S68">
        <v>363</v>
      </c>
      <c r="T68">
        <v>45.2</v>
      </c>
      <c r="U68">
        <v>379.2</v>
      </c>
      <c r="V68">
        <v>48</v>
      </c>
      <c r="W68">
        <v>384.7</v>
      </c>
    </row>
    <row r="69" spans="4:23" hidden="1">
      <c r="D69" s="221">
        <v>0.45833333333333331</v>
      </c>
      <c r="E69" t="s">
        <v>155</v>
      </c>
      <c r="F69">
        <v>33</v>
      </c>
      <c r="G69">
        <v>230</v>
      </c>
      <c r="H69">
        <v>56</v>
      </c>
      <c r="I69">
        <v>350</v>
      </c>
      <c r="J69">
        <v>70</v>
      </c>
      <c r="K69">
        <v>343</v>
      </c>
      <c r="L69">
        <v>31</v>
      </c>
      <c r="M69">
        <v>166</v>
      </c>
      <c r="N69">
        <v>29</v>
      </c>
      <c r="O69">
        <v>196</v>
      </c>
      <c r="P69">
        <v>21</v>
      </c>
      <c r="Q69">
        <v>207</v>
      </c>
      <c r="R69">
        <v>23</v>
      </c>
      <c r="S69">
        <v>187</v>
      </c>
      <c r="T69">
        <v>32.4</v>
      </c>
      <c r="U69">
        <v>234</v>
      </c>
      <c r="V69">
        <v>37.6</v>
      </c>
      <c r="W69">
        <v>239.9</v>
      </c>
    </row>
    <row r="70" spans="4:23" hidden="1">
      <c r="D70" s="221"/>
    </row>
    <row r="71" spans="4:23" hidden="1">
      <c r="D71" s="221"/>
    </row>
    <row r="72" spans="4:23" hidden="1">
      <c r="D72" s="219" t="s">
        <v>240</v>
      </c>
    </row>
    <row r="73" spans="4:23" hidden="1">
      <c r="D73" t="s">
        <v>228</v>
      </c>
    </row>
    <row r="74" spans="4:23" hidden="1">
      <c r="F74" s="429" t="s">
        <v>247</v>
      </c>
      <c r="G74" s="429"/>
      <c r="H74" s="429" t="s">
        <v>241</v>
      </c>
      <c r="I74" s="429"/>
      <c r="J74" s="429" t="s">
        <v>242</v>
      </c>
      <c r="K74" s="429"/>
      <c r="L74" s="429" t="s">
        <v>243</v>
      </c>
      <c r="M74" s="429"/>
      <c r="N74" s="429" t="s">
        <v>244</v>
      </c>
      <c r="O74" s="429"/>
      <c r="P74" s="429" t="s">
        <v>245</v>
      </c>
      <c r="Q74" s="429"/>
      <c r="R74" s="429" t="s">
        <v>246</v>
      </c>
      <c r="S74" s="429"/>
      <c r="T74" s="429" t="s">
        <v>248</v>
      </c>
      <c r="U74" s="429"/>
      <c r="V74" s="429" t="s">
        <v>226</v>
      </c>
      <c r="W74" s="429"/>
    </row>
    <row r="75" spans="4:23" hidden="1">
      <c r="F75" s="438">
        <v>43019</v>
      </c>
      <c r="G75" s="438"/>
      <c r="H75" s="438">
        <v>43020</v>
      </c>
      <c r="I75" s="438"/>
      <c r="J75" s="438"/>
      <c r="K75" s="438"/>
      <c r="L75" s="438"/>
      <c r="M75" s="438"/>
      <c r="N75" s="438"/>
      <c r="O75" s="438"/>
      <c r="P75" s="438"/>
      <c r="Q75" s="438"/>
      <c r="R75" s="438"/>
      <c r="S75" s="438"/>
    </row>
    <row r="76" spans="4:23" hidden="1">
      <c r="D76" s="221">
        <v>0.5</v>
      </c>
      <c r="E76" t="s">
        <v>156</v>
      </c>
      <c r="F76">
        <v>20</v>
      </c>
      <c r="G76">
        <v>149</v>
      </c>
      <c r="H76">
        <v>14</v>
      </c>
      <c r="I76">
        <v>180</v>
      </c>
      <c r="J76">
        <v>19</v>
      </c>
      <c r="K76">
        <v>214</v>
      </c>
      <c r="L76">
        <v>20</v>
      </c>
      <c r="M76">
        <v>404</v>
      </c>
      <c r="N76">
        <v>20</v>
      </c>
      <c r="O76">
        <v>378</v>
      </c>
      <c r="P76">
        <v>15</v>
      </c>
      <c r="Q76">
        <v>196</v>
      </c>
      <c r="R76">
        <v>14</v>
      </c>
      <c r="S76">
        <v>172</v>
      </c>
      <c r="T76">
        <v>16.399999999999999</v>
      </c>
      <c r="U76">
        <v>182.2</v>
      </c>
      <c r="V76">
        <v>17.399999999999999</v>
      </c>
      <c r="W76">
        <v>241.9</v>
      </c>
    </row>
    <row r="77" spans="4:23" hidden="1">
      <c r="D77" s="221">
        <v>4.1666666666666664E-2</v>
      </c>
      <c r="E77" t="s">
        <v>156</v>
      </c>
      <c r="F77">
        <v>7</v>
      </c>
      <c r="G77">
        <v>84</v>
      </c>
      <c r="H77">
        <v>7</v>
      </c>
      <c r="I77">
        <v>88</v>
      </c>
      <c r="J77">
        <v>12</v>
      </c>
      <c r="K77">
        <v>98</v>
      </c>
      <c r="L77">
        <v>16</v>
      </c>
      <c r="M77">
        <v>260</v>
      </c>
      <c r="N77">
        <v>16</v>
      </c>
      <c r="O77">
        <v>296</v>
      </c>
      <c r="P77">
        <v>10</v>
      </c>
      <c r="Q77">
        <v>116</v>
      </c>
      <c r="R77">
        <v>8</v>
      </c>
      <c r="S77">
        <v>106</v>
      </c>
      <c r="T77">
        <v>8.8000000000000007</v>
      </c>
      <c r="U77">
        <v>98.4</v>
      </c>
      <c r="V77">
        <v>10.9</v>
      </c>
      <c r="W77">
        <v>149.69999999999999</v>
      </c>
    </row>
    <row r="78" spans="4:23" hidden="1">
      <c r="D78" s="221">
        <v>8.3333333333333329E-2</v>
      </c>
      <c r="E78" t="s">
        <v>156</v>
      </c>
      <c r="F78">
        <v>5</v>
      </c>
      <c r="G78">
        <v>49</v>
      </c>
      <c r="H78">
        <v>10</v>
      </c>
      <c r="I78">
        <v>83</v>
      </c>
      <c r="J78">
        <v>7</v>
      </c>
      <c r="K78">
        <v>98</v>
      </c>
      <c r="L78">
        <v>18</v>
      </c>
      <c r="M78">
        <v>227</v>
      </c>
      <c r="N78">
        <v>10</v>
      </c>
      <c r="O78">
        <v>222</v>
      </c>
      <c r="P78">
        <v>8</v>
      </c>
      <c r="Q78">
        <v>66</v>
      </c>
      <c r="R78">
        <v>13</v>
      </c>
      <c r="S78">
        <v>78</v>
      </c>
      <c r="T78">
        <v>8.6</v>
      </c>
      <c r="U78">
        <v>74.8</v>
      </c>
      <c r="V78">
        <v>10.1</v>
      </c>
      <c r="W78">
        <v>117.6</v>
      </c>
    </row>
    <row r="79" spans="4:23" hidden="1">
      <c r="D79" s="221">
        <v>0.125</v>
      </c>
      <c r="E79" t="s">
        <v>156</v>
      </c>
      <c r="F79">
        <v>8</v>
      </c>
      <c r="G79">
        <v>60</v>
      </c>
      <c r="H79">
        <v>6</v>
      </c>
      <c r="I79">
        <v>55</v>
      </c>
      <c r="J79">
        <v>6</v>
      </c>
      <c r="K79">
        <v>60</v>
      </c>
      <c r="L79">
        <v>7</v>
      </c>
      <c r="M79">
        <v>112</v>
      </c>
      <c r="N79">
        <v>11</v>
      </c>
      <c r="O79">
        <v>114</v>
      </c>
      <c r="P79">
        <v>4</v>
      </c>
      <c r="Q79">
        <v>52</v>
      </c>
      <c r="R79">
        <v>7</v>
      </c>
      <c r="S79">
        <v>56</v>
      </c>
      <c r="T79">
        <v>6.2</v>
      </c>
      <c r="U79">
        <v>56.6</v>
      </c>
      <c r="V79">
        <v>7</v>
      </c>
      <c r="W79">
        <v>72.7</v>
      </c>
    </row>
    <row r="80" spans="4:23" hidden="1">
      <c r="D80" s="221">
        <v>0.16666666666666666</v>
      </c>
      <c r="E80" t="s">
        <v>156</v>
      </c>
      <c r="F80">
        <v>10</v>
      </c>
      <c r="G80">
        <v>62</v>
      </c>
      <c r="H80">
        <v>10</v>
      </c>
      <c r="I80">
        <v>81</v>
      </c>
      <c r="J80">
        <v>16</v>
      </c>
      <c r="K80">
        <v>64</v>
      </c>
      <c r="L80">
        <v>4</v>
      </c>
      <c r="M80">
        <v>59</v>
      </c>
      <c r="N80">
        <v>7</v>
      </c>
      <c r="O80">
        <v>64</v>
      </c>
      <c r="P80">
        <v>14</v>
      </c>
      <c r="Q80">
        <v>88</v>
      </c>
      <c r="R80">
        <v>8</v>
      </c>
      <c r="S80">
        <v>86</v>
      </c>
      <c r="T80">
        <v>11.6</v>
      </c>
      <c r="U80">
        <v>76.2</v>
      </c>
      <c r="V80">
        <v>9.9</v>
      </c>
      <c r="W80">
        <v>72</v>
      </c>
    </row>
    <row r="81" spans="4:23" hidden="1">
      <c r="D81" s="221">
        <v>0.20833333333333334</v>
      </c>
      <c r="E81" t="s">
        <v>156</v>
      </c>
      <c r="F81">
        <v>50</v>
      </c>
      <c r="G81">
        <v>166</v>
      </c>
      <c r="H81">
        <v>52</v>
      </c>
      <c r="I81">
        <v>206</v>
      </c>
      <c r="J81">
        <v>45</v>
      </c>
      <c r="K81">
        <v>174</v>
      </c>
      <c r="L81">
        <v>16</v>
      </c>
      <c r="M81">
        <v>98</v>
      </c>
      <c r="N81">
        <v>5</v>
      </c>
      <c r="O81">
        <v>62</v>
      </c>
      <c r="P81">
        <v>40</v>
      </c>
      <c r="Q81">
        <v>177</v>
      </c>
      <c r="R81">
        <v>69</v>
      </c>
      <c r="S81">
        <v>210</v>
      </c>
      <c r="T81">
        <v>51.2</v>
      </c>
      <c r="U81">
        <v>186.6</v>
      </c>
      <c r="V81">
        <v>39.6</v>
      </c>
      <c r="W81">
        <v>156.1</v>
      </c>
    </row>
    <row r="82" spans="4:23" hidden="1">
      <c r="D82" s="221">
        <v>0.25</v>
      </c>
      <c r="E82" t="s">
        <v>156</v>
      </c>
      <c r="F82">
        <v>142</v>
      </c>
      <c r="G82">
        <v>69</v>
      </c>
      <c r="H82">
        <v>160</v>
      </c>
      <c r="I82">
        <v>552</v>
      </c>
      <c r="J82">
        <v>137</v>
      </c>
      <c r="K82">
        <v>503</v>
      </c>
      <c r="L82">
        <v>36</v>
      </c>
      <c r="M82">
        <v>166</v>
      </c>
      <c r="N82">
        <v>32</v>
      </c>
      <c r="O82">
        <v>158</v>
      </c>
      <c r="P82">
        <v>143</v>
      </c>
      <c r="Q82">
        <v>532</v>
      </c>
      <c r="R82">
        <v>166</v>
      </c>
      <c r="S82">
        <v>508</v>
      </c>
      <c r="T82">
        <v>149.6</v>
      </c>
      <c r="U82">
        <v>432.8</v>
      </c>
      <c r="V82">
        <v>116.6</v>
      </c>
      <c r="W82">
        <v>355.4</v>
      </c>
    </row>
    <row r="83" spans="4:23" hidden="1">
      <c r="D83" s="221">
        <v>0.29166666666666669</v>
      </c>
      <c r="E83" t="s">
        <v>156</v>
      </c>
      <c r="F83">
        <v>275</v>
      </c>
      <c r="G83">
        <v>1</v>
      </c>
      <c r="H83">
        <v>306</v>
      </c>
      <c r="I83">
        <v>830</v>
      </c>
      <c r="J83">
        <v>260</v>
      </c>
      <c r="K83">
        <v>771</v>
      </c>
      <c r="L83">
        <v>60</v>
      </c>
      <c r="M83">
        <v>396</v>
      </c>
      <c r="N83">
        <v>64</v>
      </c>
      <c r="O83">
        <v>294</v>
      </c>
      <c r="P83">
        <v>292</v>
      </c>
      <c r="Q83">
        <v>850</v>
      </c>
      <c r="R83">
        <v>316</v>
      </c>
      <c r="S83">
        <v>826</v>
      </c>
      <c r="T83">
        <v>289.8</v>
      </c>
      <c r="U83">
        <v>655.6</v>
      </c>
      <c r="V83">
        <v>224.7</v>
      </c>
      <c r="W83">
        <v>566.9</v>
      </c>
    </row>
    <row r="84" spans="4:23" hidden="1">
      <c r="D84" s="221">
        <v>0.33333333333333331</v>
      </c>
      <c r="E84" t="s">
        <v>156</v>
      </c>
      <c r="F84">
        <v>274</v>
      </c>
      <c r="G84">
        <v>3</v>
      </c>
      <c r="H84">
        <v>300</v>
      </c>
      <c r="I84">
        <v>984</v>
      </c>
      <c r="J84">
        <v>288</v>
      </c>
      <c r="K84">
        <v>826</v>
      </c>
      <c r="L84">
        <v>104</v>
      </c>
      <c r="M84">
        <v>730</v>
      </c>
      <c r="N84">
        <v>83</v>
      </c>
      <c r="O84">
        <v>336</v>
      </c>
      <c r="P84">
        <v>322</v>
      </c>
      <c r="Q84">
        <v>956</v>
      </c>
      <c r="R84">
        <v>366</v>
      </c>
      <c r="S84">
        <v>960</v>
      </c>
      <c r="T84">
        <v>310</v>
      </c>
      <c r="U84">
        <v>745.8</v>
      </c>
      <c r="V84" s="224">
        <v>248.1</v>
      </c>
      <c r="W84" s="224">
        <v>685</v>
      </c>
    </row>
    <row r="85" spans="4:23" hidden="1">
      <c r="D85" s="221">
        <v>0.375</v>
      </c>
      <c r="E85" t="s">
        <v>156</v>
      </c>
      <c r="F85">
        <v>226</v>
      </c>
      <c r="G85">
        <v>2</v>
      </c>
      <c r="H85">
        <v>268</v>
      </c>
      <c r="I85">
        <v>744</v>
      </c>
      <c r="J85">
        <v>244</v>
      </c>
      <c r="K85">
        <v>804</v>
      </c>
      <c r="L85">
        <v>151</v>
      </c>
      <c r="M85">
        <v>804</v>
      </c>
      <c r="N85">
        <v>132</v>
      </c>
      <c r="O85">
        <v>610</v>
      </c>
      <c r="P85">
        <v>210</v>
      </c>
      <c r="Q85">
        <v>804</v>
      </c>
      <c r="R85">
        <v>254</v>
      </c>
      <c r="S85">
        <v>799</v>
      </c>
      <c r="T85">
        <v>240.4</v>
      </c>
      <c r="U85">
        <v>630.6</v>
      </c>
      <c r="V85">
        <v>212.1</v>
      </c>
      <c r="W85">
        <v>652.4</v>
      </c>
    </row>
    <row r="86" spans="4:23" hidden="1">
      <c r="D86" s="221">
        <v>0.41666666666666669</v>
      </c>
      <c r="E86" t="s">
        <v>156</v>
      </c>
      <c r="F86">
        <v>178</v>
      </c>
      <c r="G86">
        <v>280</v>
      </c>
      <c r="H86">
        <v>187</v>
      </c>
      <c r="I86">
        <v>842</v>
      </c>
      <c r="J86">
        <v>208</v>
      </c>
      <c r="K86">
        <v>836</v>
      </c>
      <c r="L86">
        <v>199</v>
      </c>
      <c r="M86">
        <v>912</v>
      </c>
      <c r="N86">
        <v>228</v>
      </c>
      <c r="O86">
        <v>809</v>
      </c>
      <c r="P86">
        <v>196</v>
      </c>
      <c r="Q86">
        <v>760</v>
      </c>
      <c r="R86">
        <v>210</v>
      </c>
      <c r="S86">
        <v>730</v>
      </c>
      <c r="T86">
        <v>195.8</v>
      </c>
      <c r="U86">
        <v>689.6</v>
      </c>
      <c r="V86">
        <v>200.9</v>
      </c>
      <c r="W86">
        <v>738.4</v>
      </c>
    </row>
    <row r="87" spans="4:23" hidden="1">
      <c r="D87" s="221">
        <v>0.45833333333333331</v>
      </c>
      <c r="E87" t="s">
        <v>156</v>
      </c>
      <c r="F87">
        <v>178</v>
      </c>
      <c r="G87">
        <v>929</v>
      </c>
      <c r="H87">
        <v>186</v>
      </c>
      <c r="I87">
        <v>874</v>
      </c>
      <c r="J87">
        <v>192</v>
      </c>
      <c r="K87">
        <v>924</v>
      </c>
      <c r="L87">
        <v>234</v>
      </c>
      <c r="M87">
        <v>951</v>
      </c>
      <c r="N87">
        <v>209</v>
      </c>
      <c r="O87">
        <v>939</v>
      </c>
      <c r="P87">
        <v>156</v>
      </c>
      <c r="Q87">
        <v>914</v>
      </c>
      <c r="R87">
        <v>190</v>
      </c>
      <c r="S87">
        <v>924</v>
      </c>
      <c r="T87">
        <v>180.4</v>
      </c>
      <c r="U87">
        <v>913</v>
      </c>
      <c r="V87">
        <v>192.1</v>
      </c>
      <c r="W87">
        <v>922.1</v>
      </c>
    </row>
    <row r="88" spans="4:23" hidden="1">
      <c r="D88" s="221">
        <v>0.5</v>
      </c>
      <c r="E88" t="s">
        <v>155</v>
      </c>
      <c r="F88">
        <v>192</v>
      </c>
      <c r="G88">
        <v>977</v>
      </c>
      <c r="H88">
        <v>217</v>
      </c>
      <c r="I88">
        <v>1008</v>
      </c>
      <c r="J88">
        <v>192</v>
      </c>
      <c r="K88">
        <v>1128</v>
      </c>
      <c r="L88">
        <v>234</v>
      </c>
      <c r="M88">
        <v>1027</v>
      </c>
      <c r="N88">
        <v>212</v>
      </c>
      <c r="O88">
        <v>1000</v>
      </c>
      <c r="P88">
        <v>211</v>
      </c>
      <c r="Q88">
        <v>924</v>
      </c>
      <c r="R88">
        <v>204</v>
      </c>
      <c r="S88">
        <v>948</v>
      </c>
      <c r="T88">
        <v>203.2</v>
      </c>
      <c r="U88">
        <v>997</v>
      </c>
      <c r="V88">
        <v>208.9</v>
      </c>
      <c r="W88">
        <v>1001.7</v>
      </c>
    </row>
    <row r="89" spans="4:23" hidden="1">
      <c r="D89" s="221">
        <v>4.1666666666666664E-2</v>
      </c>
      <c r="E89" t="s">
        <v>155</v>
      </c>
      <c r="F89">
        <v>168</v>
      </c>
      <c r="G89">
        <v>987</v>
      </c>
      <c r="H89">
        <v>200</v>
      </c>
      <c r="I89">
        <v>989</v>
      </c>
      <c r="J89">
        <v>200</v>
      </c>
      <c r="K89">
        <v>1108</v>
      </c>
      <c r="L89">
        <v>220</v>
      </c>
      <c r="M89">
        <v>1092</v>
      </c>
      <c r="N89">
        <v>231</v>
      </c>
      <c r="O89">
        <v>948</v>
      </c>
      <c r="P89">
        <v>186</v>
      </c>
      <c r="Q89">
        <v>934</v>
      </c>
      <c r="R89">
        <v>186</v>
      </c>
      <c r="S89">
        <v>944</v>
      </c>
      <c r="T89">
        <v>188</v>
      </c>
      <c r="U89">
        <v>992.4</v>
      </c>
      <c r="V89">
        <v>198.7</v>
      </c>
      <c r="W89">
        <v>1000.3</v>
      </c>
    </row>
    <row r="90" spans="4:23" hidden="1">
      <c r="D90" s="221">
        <v>8.3333333333333329E-2</v>
      </c>
      <c r="E90" t="s">
        <v>155</v>
      </c>
      <c r="F90">
        <v>208</v>
      </c>
      <c r="G90">
        <v>1246</v>
      </c>
      <c r="H90">
        <v>202</v>
      </c>
      <c r="I90">
        <v>1080</v>
      </c>
      <c r="J90">
        <v>226</v>
      </c>
      <c r="K90">
        <v>1268</v>
      </c>
      <c r="L90">
        <v>250</v>
      </c>
      <c r="M90">
        <v>1260</v>
      </c>
      <c r="N90">
        <v>238</v>
      </c>
      <c r="O90">
        <v>1129</v>
      </c>
      <c r="P90">
        <v>172</v>
      </c>
      <c r="Q90">
        <v>1240</v>
      </c>
      <c r="R90">
        <v>188</v>
      </c>
      <c r="S90">
        <v>1242</v>
      </c>
      <c r="T90">
        <v>199.2</v>
      </c>
      <c r="U90">
        <v>1215.2</v>
      </c>
      <c r="V90">
        <v>212</v>
      </c>
      <c r="W90">
        <v>1209.3</v>
      </c>
    </row>
    <row r="91" spans="4:23" hidden="1">
      <c r="D91" s="221">
        <v>0.125</v>
      </c>
      <c r="E91" t="s">
        <v>155</v>
      </c>
      <c r="F91">
        <v>246</v>
      </c>
      <c r="G91">
        <v>1174</v>
      </c>
      <c r="H91">
        <v>244</v>
      </c>
      <c r="I91">
        <v>1298</v>
      </c>
      <c r="J91">
        <v>227</v>
      </c>
      <c r="K91">
        <v>1226</v>
      </c>
      <c r="L91">
        <v>211</v>
      </c>
      <c r="M91">
        <v>1259</v>
      </c>
      <c r="N91">
        <v>218</v>
      </c>
      <c r="O91">
        <v>1118</v>
      </c>
      <c r="P91">
        <v>228</v>
      </c>
      <c r="Q91">
        <v>1353</v>
      </c>
      <c r="R91">
        <v>216</v>
      </c>
      <c r="S91">
        <v>1264</v>
      </c>
      <c r="T91">
        <v>232.2</v>
      </c>
      <c r="U91">
        <v>1263</v>
      </c>
      <c r="V91">
        <v>227.1</v>
      </c>
      <c r="W91">
        <v>1241.7</v>
      </c>
    </row>
    <row r="92" spans="4:23" hidden="1">
      <c r="D92" s="221">
        <v>0.16666666666666666</v>
      </c>
      <c r="E92" t="s">
        <v>155</v>
      </c>
      <c r="F92">
        <v>218</v>
      </c>
      <c r="G92">
        <v>1300</v>
      </c>
      <c r="H92">
        <v>248</v>
      </c>
      <c r="I92">
        <v>1304</v>
      </c>
      <c r="J92">
        <v>272</v>
      </c>
      <c r="K92">
        <v>1289</v>
      </c>
      <c r="L92">
        <v>224</v>
      </c>
      <c r="M92">
        <v>1188</v>
      </c>
      <c r="N92">
        <v>245</v>
      </c>
      <c r="O92">
        <v>1132</v>
      </c>
      <c r="P92">
        <v>256</v>
      </c>
      <c r="Q92">
        <v>1258</v>
      </c>
      <c r="R92">
        <v>220</v>
      </c>
      <c r="S92">
        <v>1344</v>
      </c>
      <c r="T92">
        <v>242.8</v>
      </c>
      <c r="U92">
        <v>1299</v>
      </c>
      <c r="V92">
        <v>240.4</v>
      </c>
      <c r="W92">
        <v>1259.3</v>
      </c>
    </row>
    <row r="93" spans="4:23" hidden="1">
      <c r="D93" s="221">
        <v>0.20833333333333334</v>
      </c>
      <c r="E93" t="s">
        <v>155</v>
      </c>
      <c r="F93">
        <v>272</v>
      </c>
      <c r="G93">
        <v>1354</v>
      </c>
      <c r="H93">
        <v>292</v>
      </c>
      <c r="I93">
        <v>1280</v>
      </c>
      <c r="J93">
        <v>279</v>
      </c>
      <c r="K93">
        <v>1468</v>
      </c>
      <c r="L93">
        <v>242</v>
      </c>
      <c r="M93">
        <v>1164</v>
      </c>
      <c r="N93">
        <v>190</v>
      </c>
      <c r="O93">
        <v>1127</v>
      </c>
      <c r="P93">
        <v>256</v>
      </c>
      <c r="Q93">
        <v>1172</v>
      </c>
      <c r="R93">
        <v>260</v>
      </c>
      <c r="S93">
        <v>1344</v>
      </c>
      <c r="T93">
        <v>271.8</v>
      </c>
      <c r="U93">
        <v>1323.6</v>
      </c>
      <c r="V93" s="224">
        <v>255.9</v>
      </c>
      <c r="W93">
        <v>1272.7</v>
      </c>
    </row>
    <row r="94" spans="4:23" hidden="1">
      <c r="D94" s="221">
        <v>0.25</v>
      </c>
      <c r="E94" t="s">
        <v>155</v>
      </c>
      <c r="F94">
        <v>180</v>
      </c>
      <c r="G94">
        <v>1502</v>
      </c>
      <c r="H94">
        <v>190</v>
      </c>
      <c r="I94">
        <v>1484</v>
      </c>
      <c r="J94">
        <v>212</v>
      </c>
      <c r="K94">
        <v>1402</v>
      </c>
      <c r="L94">
        <v>198</v>
      </c>
      <c r="M94">
        <v>1129</v>
      </c>
      <c r="N94">
        <v>176</v>
      </c>
      <c r="O94">
        <v>1036</v>
      </c>
      <c r="P94">
        <v>174</v>
      </c>
      <c r="Q94">
        <v>1412</v>
      </c>
      <c r="R94">
        <v>194</v>
      </c>
      <c r="S94">
        <v>1350</v>
      </c>
      <c r="T94">
        <v>190</v>
      </c>
      <c r="U94">
        <v>1430</v>
      </c>
      <c r="V94">
        <v>189.1</v>
      </c>
      <c r="W94" s="224">
        <v>1330.7</v>
      </c>
    </row>
    <row r="95" spans="4:23" hidden="1">
      <c r="D95" s="221">
        <v>0.29166666666666669</v>
      </c>
      <c r="E95" t="s">
        <v>155</v>
      </c>
      <c r="F95">
        <v>130</v>
      </c>
      <c r="G95">
        <v>1248</v>
      </c>
      <c r="H95">
        <v>140</v>
      </c>
      <c r="I95">
        <v>1265</v>
      </c>
      <c r="J95">
        <v>164</v>
      </c>
      <c r="K95">
        <v>1176</v>
      </c>
      <c r="L95">
        <v>155</v>
      </c>
      <c r="M95">
        <v>978</v>
      </c>
      <c r="N95">
        <v>122</v>
      </c>
      <c r="O95">
        <v>1149</v>
      </c>
      <c r="P95">
        <v>150</v>
      </c>
      <c r="Q95">
        <v>1106</v>
      </c>
      <c r="R95">
        <v>147</v>
      </c>
      <c r="S95">
        <v>1114</v>
      </c>
      <c r="T95">
        <v>146.19999999999999</v>
      </c>
      <c r="U95">
        <v>1181.8</v>
      </c>
      <c r="V95">
        <v>144</v>
      </c>
      <c r="W95">
        <v>1148</v>
      </c>
    </row>
    <row r="96" spans="4:23" hidden="1">
      <c r="D96" s="221">
        <v>0.33333333333333331</v>
      </c>
      <c r="E96" t="s">
        <v>155</v>
      </c>
      <c r="F96">
        <v>94</v>
      </c>
      <c r="G96">
        <v>940</v>
      </c>
      <c r="H96">
        <v>74</v>
      </c>
      <c r="I96">
        <v>976</v>
      </c>
      <c r="J96">
        <v>120</v>
      </c>
      <c r="K96">
        <v>801</v>
      </c>
      <c r="L96">
        <v>97</v>
      </c>
      <c r="M96">
        <v>793</v>
      </c>
      <c r="N96">
        <v>102</v>
      </c>
      <c r="O96">
        <v>852</v>
      </c>
      <c r="P96">
        <v>98</v>
      </c>
      <c r="Q96">
        <v>796</v>
      </c>
      <c r="R96">
        <v>104</v>
      </c>
      <c r="S96">
        <v>916</v>
      </c>
      <c r="T96">
        <v>98</v>
      </c>
      <c r="U96">
        <v>885.8</v>
      </c>
      <c r="V96">
        <v>98.4</v>
      </c>
      <c r="W96">
        <v>867.7</v>
      </c>
    </row>
    <row r="97" spans="4:23" hidden="1">
      <c r="D97" s="221">
        <v>0.375</v>
      </c>
      <c r="E97" t="s">
        <v>155</v>
      </c>
      <c r="F97">
        <v>75</v>
      </c>
      <c r="G97">
        <v>797</v>
      </c>
      <c r="H97">
        <v>78</v>
      </c>
      <c r="I97">
        <v>860</v>
      </c>
      <c r="J97">
        <v>92</v>
      </c>
      <c r="K97">
        <v>838</v>
      </c>
      <c r="L97">
        <v>95</v>
      </c>
      <c r="M97">
        <v>849</v>
      </c>
      <c r="N97">
        <v>61</v>
      </c>
      <c r="O97">
        <v>662</v>
      </c>
      <c r="P97">
        <v>82</v>
      </c>
      <c r="Q97">
        <v>718</v>
      </c>
      <c r="R97">
        <v>68</v>
      </c>
      <c r="S97">
        <v>846</v>
      </c>
      <c r="T97">
        <v>79</v>
      </c>
      <c r="U97">
        <v>811.8</v>
      </c>
      <c r="V97">
        <v>78.7</v>
      </c>
      <c r="W97">
        <v>795.7</v>
      </c>
    </row>
    <row r="98" spans="4:23" hidden="1">
      <c r="D98" s="221">
        <v>0.41666666666666669</v>
      </c>
      <c r="E98" t="s">
        <v>155</v>
      </c>
      <c r="F98">
        <v>50</v>
      </c>
      <c r="G98">
        <v>580</v>
      </c>
      <c r="H98">
        <v>64</v>
      </c>
      <c r="I98">
        <v>630</v>
      </c>
      <c r="J98">
        <v>62</v>
      </c>
      <c r="K98">
        <v>720</v>
      </c>
      <c r="L98">
        <v>76</v>
      </c>
      <c r="M98">
        <v>759</v>
      </c>
      <c r="N98">
        <v>36</v>
      </c>
      <c r="O98">
        <v>482</v>
      </c>
      <c r="P98">
        <v>36</v>
      </c>
      <c r="Q98">
        <v>437</v>
      </c>
      <c r="R98">
        <v>59</v>
      </c>
      <c r="S98">
        <v>522</v>
      </c>
      <c r="T98">
        <v>54.2</v>
      </c>
      <c r="U98">
        <v>577.79999999999995</v>
      </c>
      <c r="V98">
        <v>54.7</v>
      </c>
      <c r="W98">
        <v>590</v>
      </c>
    </row>
    <row r="99" spans="4:23" hidden="1">
      <c r="D99" s="221">
        <v>0.45833333333333331</v>
      </c>
      <c r="E99" t="s">
        <v>155</v>
      </c>
      <c r="F99">
        <v>19</v>
      </c>
      <c r="G99">
        <v>372</v>
      </c>
      <c r="H99">
        <v>30</v>
      </c>
      <c r="I99">
        <v>378</v>
      </c>
      <c r="J99">
        <v>44</v>
      </c>
      <c r="K99">
        <v>573</v>
      </c>
      <c r="L99">
        <v>68</v>
      </c>
      <c r="M99">
        <v>615</v>
      </c>
      <c r="N99">
        <v>30</v>
      </c>
      <c r="O99">
        <v>363</v>
      </c>
      <c r="P99">
        <v>28</v>
      </c>
      <c r="Q99">
        <v>298</v>
      </c>
      <c r="R99">
        <v>33</v>
      </c>
      <c r="S99">
        <v>350</v>
      </c>
      <c r="T99">
        <v>30.8</v>
      </c>
      <c r="U99">
        <v>394.2</v>
      </c>
      <c r="V99">
        <v>36</v>
      </c>
      <c r="W99">
        <v>421.3</v>
      </c>
    </row>
    <row r="100" spans="4:23" hidden="1">
      <c r="D100" s="221"/>
    </row>
    <row r="101" spans="4:23" hidden="1">
      <c r="D101" s="219" t="s">
        <v>249</v>
      </c>
    </row>
    <row r="102" spans="4:23" hidden="1">
      <c r="D102" t="s">
        <v>229</v>
      </c>
    </row>
    <row r="103" spans="4:23" hidden="1">
      <c r="F103" s="275" t="s">
        <v>250</v>
      </c>
    </row>
    <row r="104" spans="4:23" hidden="1">
      <c r="F104" s="429" t="s">
        <v>247</v>
      </c>
      <c r="G104" s="429"/>
      <c r="H104" s="429" t="s">
        <v>241</v>
      </c>
      <c r="I104" s="429"/>
      <c r="J104" s="429" t="s">
        <v>242</v>
      </c>
      <c r="K104" s="429"/>
      <c r="L104" s="429" t="s">
        <v>243</v>
      </c>
      <c r="M104" s="429"/>
      <c r="N104" s="429" t="s">
        <v>244</v>
      </c>
      <c r="O104" s="429"/>
      <c r="P104" s="429" t="s">
        <v>245</v>
      </c>
      <c r="Q104" s="429"/>
      <c r="R104" s="429" t="s">
        <v>246</v>
      </c>
      <c r="S104" s="429"/>
      <c r="T104" s="429" t="s">
        <v>248</v>
      </c>
      <c r="U104" s="429"/>
      <c r="V104" s="429" t="s">
        <v>226</v>
      </c>
      <c r="W104" s="429"/>
    </row>
    <row r="105" spans="4:23" hidden="1">
      <c r="F105" s="438">
        <v>43019</v>
      </c>
      <c r="G105" s="438"/>
      <c r="H105" s="438">
        <v>43020</v>
      </c>
      <c r="I105" s="438"/>
      <c r="J105" s="438"/>
      <c r="K105" s="438"/>
      <c r="L105" s="438"/>
      <c r="M105" s="438"/>
      <c r="N105" s="438"/>
      <c r="O105" s="438"/>
      <c r="P105" s="438"/>
      <c r="Q105" s="438"/>
      <c r="R105" s="438"/>
      <c r="S105" s="438"/>
    </row>
    <row r="106" spans="4:23" hidden="1">
      <c r="D106" s="221">
        <v>0.5</v>
      </c>
      <c r="E106" t="s">
        <v>156</v>
      </c>
      <c r="F106">
        <v>91</v>
      </c>
      <c r="G106">
        <v>127</v>
      </c>
      <c r="H106">
        <v>121</v>
      </c>
      <c r="I106">
        <v>142</v>
      </c>
      <c r="J106">
        <v>95</v>
      </c>
      <c r="K106">
        <v>164</v>
      </c>
      <c r="L106">
        <v>207</v>
      </c>
      <c r="M106">
        <v>324</v>
      </c>
      <c r="N106">
        <v>223</v>
      </c>
      <c r="O106">
        <v>436</v>
      </c>
      <c r="P106">
        <v>94</v>
      </c>
      <c r="Q106">
        <v>192</v>
      </c>
      <c r="R106">
        <v>96</v>
      </c>
      <c r="S106">
        <v>180</v>
      </c>
      <c r="T106">
        <v>99.4</v>
      </c>
      <c r="U106">
        <v>161</v>
      </c>
      <c r="V106">
        <v>132.4</v>
      </c>
      <c r="W106">
        <v>223.6</v>
      </c>
    </row>
    <row r="107" spans="4:23" hidden="1">
      <c r="D107" s="221">
        <v>4.1666666666666664E-2</v>
      </c>
      <c r="E107" t="s">
        <v>156</v>
      </c>
      <c r="F107">
        <v>67</v>
      </c>
      <c r="G107">
        <v>88</v>
      </c>
      <c r="H107">
        <v>72</v>
      </c>
      <c r="I107">
        <v>82</v>
      </c>
      <c r="J107">
        <v>93</v>
      </c>
      <c r="K107">
        <v>94</v>
      </c>
      <c r="L107">
        <v>124</v>
      </c>
      <c r="M107">
        <v>242</v>
      </c>
      <c r="N107">
        <v>136</v>
      </c>
      <c r="O107">
        <v>290</v>
      </c>
      <c r="P107">
        <v>66</v>
      </c>
      <c r="Q107">
        <v>119</v>
      </c>
      <c r="R107">
        <v>63</v>
      </c>
      <c r="S107">
        <v>100</v>
      </c>
      <c r="T107">
        <v>72.2</v>
      </c>
      <c r="U107">
        <v>96.6</v>
      </c>
      <c r="V107">
        <v>88.7</v>
      </c>
      <c r="W107">
        <v>145</v>
      </c>
    </row>
    <row r="108" spans="4:23" hidden="1">
      <c r="D108" s="221">
        <v>8.3333333333333329E-2</v>
      </c>
      <c r="E108" t="s">
        <v>156</v>
      </c>
      <c r="F108">
        <v>38</v>
      </c>
      <c r="G108">
        <v>58</v>
      </c>
      <c r="H108">
        <v>59</v>
      </c>
      <c r="I108">
        <v>80</v>
      </c>
      <c r="J108">
        <v>60</v>
      </c>
      <c r="K108">
        <v>76</v>
      </c>
      <c r="L108">
        <v>118</v>
      </c>
      <c r="M108">
        <v>177</v>
      </c>
      <c r="N108">
        <v>126</v>
      </c>
      <c r="O108">
        <v>210</v>
      </c>
      <c r="P108">
        <v>48</v>
      </c>
      <c r="Q108">
        <v>82</v>
      </c>
      <c r="R108">
        <v>49</v>
      </c>
      <c r="S108">
        <v>87</v>
      </c>
      <c r="T108">
        <v>50.8</v>
      </c>
      <c r="U108">
        <v>76.599999999999994</v>
      </c>
      <c r="V108">
        <v>71.099999999999994</v>
      </c>
      <c r="W108">
        <v>110</v>
      </c>
    </row>
    <row r="109" spans="4:23" hidden="1">
      <c r="D109" s="221">
        <v>0.125</v>
      </c>
      <c r="E109" t="s">
        <v>156</v>
      </c>
      <c r="F109">
        <v>56</v>
      </c>
      <c r="G109">
        <v>50</v>
      </c>
      <c r="H109">
        <v>58</v>
      </c>
      <c r="I109">
        <v>56</v>
      </c>
      <c r="J109">
        <v>72</v>
      </c>
      <c r="K109">
        <v>48</v>
      </c>
      <c r="L109">
        <v>76</v>
      </c>
      <c r="M109">
        <v>108</v>
      </c>
      <c r="N109">
        <v>70</v>
      </c>
      <c r="O109">
        <v>120</v>
      </c>
      <c r="P109">
        <v>44</v>
      </c>
      <c r="Q109">
        <v>66</v>
      </c>
      <c r="R109">
        <v>64</v>
      </c>
      <c r="S109">
        <v>76</v>
      </c>
      <c r="T109">
        <v>58.8</v>
      </c>
      <c r="U109">
        <v>59.2</v>
      </c>
      <c r="V109">
        <v>62.9</v>
      </c>
      <c r="W109">
        <v>74.900000000000006</v>
      </c>
    </row>
    <row r="110" spans="4:23" hidden="1">
      <c r="D110" s="221">
        <v>0.16666666666666666</v>
      </c>
      <c r="E110" t="s">
        <v>156</v>
      </c>
      <c r="F110">
        <v>163</v>
      </c>
      <c r="G110">
        <v>88</v>
      </c>
      <c r="H110">
        <v>166</v>
      </c>
      <c r="I110">
        <v>86</v>
      </c>
      <c r="J110">
        <v>150</v>
      </c>
      <c r="K110">
        <v>86</v>
      </c>
      <c r="L110">
        <v>75</v>
      </c>
      <c r="M110">
        <v>50</v>
      </c>
      <c r="N110">
        <v>52</v>
      </c>
      <c r="O110">
        <v>78</v>
      </c>
      <c r="P110">
        <v>169</v>
      </c>
      <c r="Q110">
        <v>182</v>
      </c>
      <c r="R110">
        <v>148</v>
      </c>
      <c r="S110">
        <v>106</v>
      </c>
      <c r="T110">
        <v>159.19999999999999</v>
      </c>
      <c r="U110">
        <v>109.6</v>
      </c>
      <c r="V110">
        <v>131.9</v>
      </c>
      <c r="W110">
        <v>96.6</v>
      </c>
    </row>
    <row r="111" spans="4:23" hidden="1">
      <c r="D111" s="221">
        <v>0.20833333333333334</v>
      </c>
      <c r="E111" t="s">
        <v>156</v>
      </c>
      <c r="F111">
        <v>514</v>
      </c>
      <c r="G111">
        <v>250</v>
      </c>
      <c r="H111">
        <v>484</v>
      </c>
      <c r="I111">
        <v>260</v>
      </c>
      <c r="J111">
        <v>462</v>
      </c>
      <c r="K111">
        <v>242</v>
      </c>
      <c r="L111">
        <v>159</v>
      </c>
      <c r="M111">
        <v>120</v>
      </c>
      <c r="N111">
        <v>104</v>
      </c>
      <c r="O111">
        <v>116</v>
      </c>
      <c r="P111">
        <v>448</v>
      </c>
      <c r="Q111">
        <v>374</v>
      </c>
      <c r="R111">
        <v>512</v>
      </c>
      <c r="S111">
        <v>338</v>
      </c>
      <c r="T111">
        <v>484</v>
      </c>
      <c r="U111">
        <v>292.8</v>
      </c>
      <c r="V111">
        <v>383.3</v>
      </c>
      <c r="W111">
        <v>242.9</v>
      </c>
    </row>
    <row r="112" spans="4:23" hidden="1">
      <c r="D112" s="221">
        <v>0.25</v>
      </c>
      <c r="E112" t="s">
        <v>156</v>
      </c>
      <c r="F112">
        <v>1108</v>
      </c>
      <c r="G112">
        <v>504</v>
      </c>
      <c r="H112">
        <v>1005</v>
      </c>
      <c r="I112">
        <v>548</v>
      </c>
      <c r="J112">
        <v>990</v>
      </c>
      <c r="K112">
        <v>498</v>
      </c>
      <c r="L112">
        <v>269</v>
      </c>
      <c r="M112">
        <v>210</v>
      </c>
      <c r="N112">
        <v>218</v>
      </c>
      <c r="O112">
        <v>234</v>
      </c>
      <c r="P112">
        <v>990</v>
      </c>
      <c r="Q112">
        <v>898</v>
      </c>
      <c r="R112">
        <v>1035</v>
      </c>
      <c r="S112">
        <v>806</v>
      </c>
      <c r="T112">
        <v>1025.5999999999999</v>
      </c>
      <c r="U112">
        <v>650.79999999999995</v>
      </c>
      <c r="V112">
        <v>802.1</v>
      </c>
      <c r="W112">
        <v>528.29999999999995</v>
      </c>
    </row>
    <row r="113" spans="4:23" hidden="1">
      <c r="D113" s="221">
        <v>0.29166666666666669</v>
      </c>
      <c r="E113" t="s">
        <v>156</v>
      </c>
      <c r="F113">
        <v>1101</v>
      </c>
      <c r="G113">
        <v>694</v>
      </c>
      <c r="H113">
        <v>1104</v>
      </c>
      <c r="I113">
        <v>712</v>
      </c>
      <c r="J113">
        <v>1002</v>
      </c>
      <c r="K113">
        <v>712</v>
      </c>
      <c r="L113">
        <v>454</v>
      </c>
      <c r="M113">
        <v>494</v>
      </c>
      <c r="N113">
        <v>276</v>
      </c>
      <c r="O113">
        <v>376</v>
      </c>
      <c r="P113">
        <v>1056</v>
      </c>
      <c r="Q113">
        <v>1144</v>
      </c>
      <c r="R113">
        <v>1040</v>
      </c>
      <c r="S113">
        <v>954</v>
      </c>
      <c r="T113">
        <v>1060.5999999999999</v>
      </c>
      <c r="U113">
        <v>843.2</v>
      </c>
      <c r="V113">
        <v>861.9</v>
      </c>
      <c r="W113">
        <v>726.6</v>
      </c>
    </row>
    <row r="114" spans="4:23" hidden="1">
      <c r="D114" s="221">
        <v>0.33333333333333331</v>
      </c>
      <c r="E114" t="s">
        <v>156</v>
      </c>
      <c r="F114">
        <v>1086</v>
      </c>
      <c r="G114">
        <v>762</v>
      </c>
      <c r="H114">
        <v>998</v>
      </c>
      <c r="I114">
        <v>840</v>
      </c>
      <c r="J114">
        <v>1089</v>
      </c>
      <c r="K114">
        <v>755</v>
      </c>
      <c r="L114">
        <v>793</v>
      </c>
      <c r="M114">
        <v>772</v>
      </c>
      <c r="N114">
        <v>512</v>
      </c>
      <c r="O114">
        <v>420</v>
      </c>
      <c r="P114">
        <v>1091</v>
      </c>
      <c r="Q114">
        <v>1080</v>
      </c>
      <c r="R114">
        <v>984</v>
      </c>
      <c r="S114">
        <v>982</v>
      </c>
      <c r="T114">
        <v>1049.5999999999999</v>
      </c>
      <c r="U114">
        <v>883.8</v>
      </c>
      <c r="V114">
        <v>936.1</v>
      </c>
      <c r="W114">
        <v>801.6</v>
      </c>
    </row>
    <row r="115" spans="4:23" hidden="1">
      <c r="D115" s="221">
        <v>0.375</v>
      </c>
      <c r="E115" t="s">
        <v>156</v>
      </c>
      <c r="F115">
        <v>1013</v>
      </c>
      <c r="G115">
        <v>828</v>
      </c>
      <c r="H115">
        <v>981</v>
      </c>
      <c r="I115">
        <v>858</v>
      </c>
      <c r="J115">
        <v>1126</v>
      </c>
      <c r="K115">
        <v>730</v>
      </c>
      <c r="L115">
        <v>989</v>
      </c>
      <c r="M115">
        <v>826</v>
      </c>
      <c r="N115">
        <v>788</v>
      </c>
      <c r="O115">
        <v>720</v>
      </c>
      <c r="P115">
        <v>1038</v>
      </c>
      <c r="Q115">
        <v>1228</v>
      </c>
      <c r="R115">
        <v>1043</v>
      </c>
      <c r="S115">
        <v>1082</v>
      </c>
      <c r="T115">
        <v>1040.2</v>
      </c>
      <c r="U115">
        <v>945.2</v>
      </c>
      <c r="V115">
        <v>996.9</v>
      </c>
      <c r="W115">
        <v>896</v>
      </c>
    </row>
    <row r="116" spans="4:23" hidden="1">
      <c r="D116" s="221">
        <v>0.41666666666666669</v>
      </c>
      <c r="E116" t="s">
        <v>156</v>
      </c>
      <c r="F116">
        <v>1009</v>
      </c>
      <c r="G116">
        <v>704</v>
      </c>
      <c r="H116">
        <v>886</v>
      </c>
      <c r="I116">
        <v>780</v>
      </c>
      <c r="J116">
        <v>966</v>
      </c>
      <c r="K116">
        <v>764</v>
      </c>
      <c r="L116">
        <v>1057</v>
      </c>
      <c r="M116">
        <v>900</v>
      </c>
      <c r="N116">
        <v>872</v>
      </c>
      <c r="O116">
        <v>904</v>
      </c>
      <c r="P116">
        <v>938</v>
      </c>
      <c r="Q116">
        <v>1032</v>
      </c>
      <c r="R116">
        <v>921</v>
      </c>
      <c r="S116">
        <v>984</v>
      </c>
      <c r="T116">
        <v>944</v>
      </c>
      <c r="U116">
        <v>852.8</v>
      </c>
      <c r="V116">
        <v>949.9</v>
      </c>
      <c r="W116">
        <v>866.9</v>
      </c>
    </row>
    <row r="117" spans="4:23" hidden="1">
      <c r="D117" s="221">
        <v>0.45833333333333331</v>
      </c>
      <c r="E117" t="s">
        <v>156</v>
      </c>
      <c r="F117">
        <v>920</v>
      </c>
      <c r="G117">
        <v>859</v>
      </c>
      <c r="H117">
        <v>858</v>
      </c>
      <c r="I117">
        <v>813</v>
      </c>
      <c r="J117">
        <v>964</v>
      </c>
      <c r="K117">
        <v>842</v>
      </c>
      <c r="L117">
        <v>1108</v>
      </c>
      <c r="M117">
        <v>1036</v>
      </c>
      <c r="N117">
        <v>944</v>
      </c>
      <c r="O117">
        <v>1190</v>
      </c>
      <c r="P117">
        <v>838</v>
      </c>
      <c r="Q117">
        <v>965</v>
      </c>
      <c r="R117">
        <v>766</v>
      </c>
      <c r="S117">
        <v>972</v>
      </c>
      <c r="T117">
        <v>869.2</v>
      </c>
      <c r="U117">
        <v>890.2</v>
      </c>
      <c r="V117">
        <v>914</v>
      </c>
      <c r="W117">
        <v>953.9</v>
      </c>
    </row>
    <row r="118" spans="4:23" hidden="1">
      <c r="D118" s="221">
        <v>0.5</v>
      </c>
      <c r="E118" t="s">
        <v>155</v>
      </c>
      <c r="F118">
        <v>938</v>
      </c>
      <c r="G118">
        <v>902</v>
      </c>
      <c r="H118">
        <v>860</v>
      </c>
      <c r="I118">
        <v>942</v>
      </c>
      <c r="J118">
        <v>906</v>
      </c>
      <c r="K118">
        <v>995</v>
      </c>
      <c r="L118">
        <v>1070</v>
      </c>
      <c r="M118">
        <v>1102</v>
      </c>
      <c r="N118">
        <v>958</v>
      </c>
      <c r="O118">
        <v>1195</v>
      </c>
      <c r="P118">
        <v>887</v>
      </c>
      <c r="Q118">
        <v>1140</v>
      </c>
      <c r="R118">
        <v>826</v>
      </c>
      <c r="S118">
        <v>1050</v>
      </c>
      <c r="T118">
        <v>883.4</v>
      </c>
      <c r="U118">
        <v>1005.8</v>
      </c>
      <c r="V118">
        <v>920.7</v>
      </c>
      <c r="W118">
        <v>1046.5999999999999</v>
      </c>
    </row>
    <row r="119" spans="4:23" hidden="1">
      <c r="D119" s="221">
        <v>4.1666666666666664E-2</v>
      </c>
      <c r="E119" t="s">
        <v>155</v>
      </c>
      <c r="F119">
        <v>881</v>
      </c>
      <c r="G119">
        <v>920</v>
      </c>
      <c r="H119">
        <v>858</v>
      </c>
      <c r="I119">
        <v>919</v>
      </c>
      <c r="J119">
        <v>956</v>
      </c>
      <c r="K119">
        <v>966</v>
      </c>
      <c r="L119">
        <v>992</v>
      </c>
      <c r="M119">
        <v>1126</v>
      </c>
      <c r="N119">
        <v>967</v>
      </c>
      <c r="O119">
        <v>1133</v>
      </c>
      <c r="P119">
        <v>852</v>
      </c>
      <c r="Q119">
        <v>986</v>
      </c>
      <c r="R119">
        <v>866</v>
      </c>
      <c r="S119">
        <v>1007</v>
      </c>
      <c r="T119">
        <v>882.6</v>
      </c>
      <c r="U119">
        <v>959.6</v>
      </c>
      <c r="V119">
        <v>910.3</v>
      </c>
      <c r="W119">
        <v>1008.1</v>
      </c>
    </row>
    <row r="120" spans="4:23" hidden="1">
      <c r="D120" s="221">
        <v>8.3333333333333329E-2</v>
      </c>
      <c r="E120" t="s">
        <v>155</v>
      </c>
      <c r="F120">
        <v>883</v>
      </c>
      <c r="G120">
        <v>1131</v>
      </c>
      <c r="H120">
        <v>883</v>
      </c>
      <c r="I120">
        <v>1098</v>
      </c>
      <c r="J120">
        <v>928</v>
      </c>
      <c r="K120">
        <v>1187</v>
      </c>
      <c r="L120">
        <v>1028</v>
      </c>
      <c r="M120">
        <v>1230</v>
      </c>
      <c r="N120">
        <v>934</v>
      </c>
      <c r="O120">
        <v>1167</v>
      </c>
      <c r="P120">
        <v>914</v>
      </c>
      <c r="Q120">
        <v>1222</v>
      </c>
      <c r="R120">
        <v>962</v>
      </c>
      <c r="S120">
        <v>1098</v>
      </c>
      <c r="T120">
        <v>914</v>
      </c>
      <c r="U120">
        <v>1147.2</v>
      </c>
      <c r="V120">
        <v>933.1</v>
      </c>
      <c r="W120">
        <v>1161.9000000000001</v>
      </c>
    </row>
    <row r="121" spans="4:23" hidden="1">
      <c r="D121" s="221">
        <v>0.125</v>
      </c>
      <c r="E121" t="s">
        <v>155</v>
      </c>
      <c r="F121">
        <v>936</v>
      </c>
      <c r="G121">
        <v>1204</v>
      </c>
      <c r="H121">
        <v>866</v>
      </c>
      <c r="I121">
        <v>1296</v>
      </c>
      <c r="J121">
        <v>858</v>
      </c>
      <c r="K121">
        <v>1162</v>
      </c>
      <c r="L121">
        <v>1010</v>
      </c>
      <c r="M121">
        <v>1348</v>
      </c>
      <c r="N121">
        <v>966</v>
      </c>
      <c r="O121">
        <v>1161</v>
      </c>
      <c r="P121">
        <v>921</v>
      </c>
      <c r="Q121">
        <v>1282</v>
      </c>
      <c r="R121">
        <v>858</v>
      </c>
      <c r="S121">
        <v>1180</v>
      </c>
      <c r="T121">
        <v>887.8</v>
      </c>
      <c r="U121">
        <v>1224.8</v>
      </c>
      <c r="V121">
        <v>916.4</v>
      </c>
      <c r="W121">
        <v>1233.3</v>
      </c>
    </row>
    <row r="122" spans="4:23" hidden="1">
      <c r="D122" s="221">
        <v>0.16666666666666666</v>
      </c>
      <c r="E122" t="s">
        <v>155</v>
      </c>
      <c r="F122">
        <v>980</v>
      </c>
      <c r="G122">
        <v>1243</v>
      </c>
      <c r="H122">
        <v>944</v>
      </c>
      <c r="I122">
        <v>1291</v>
      </c>
      <c r="J122">
        <v>878</v>
      </c>
      <c r="K122">
        <v>1262</v>
      </c>
      <c r="L122">
        <v>987</v>
      </c>
      <c r="M122">
        <v>1195</v>
      </c>
      <c r="N122">
        <v>906</v>
      </c>
      <c r="O122">
        <v>1236</v>
      </c>
      <c r="P122">
        <v>930</v>
      </c>
      <c r="Q122">
        <v>1287</v>
      </c>
      <c r="R122">
        <v>966</v>
      </c>
      <c r="S122">
        <v>1128</v>
      </c>
      <c r="T122">
        <v>939.6</v>
      </c>
      <c r="U122">
        <v>1242.2</v>
      </c>
      <c r="V122">
        <v>941.6</v>
      </c>
      <c r="W122">
        <v>1234.5999999999999</v>
      </c>
    </row>
    <row r="123" spans="4:23" hidden="1">
      <c r="D123" s="221">
        <v>0.20833333333333334</v>
      </c>
      <c r="E123" t="s">
        <v>155</v>
      </c>
      <c r="F123">
        <v>1013</v>
      </c>
      <c r="G123">
        <v>1276</v>
      </c>
      <c r="H123">
        <v>954</v>
      </c>
      <c r="I123">
        <v>1317</v>
      </c>
      <c r="J123">
        <v>924</v>
      </c>
      <c r="K123">
        <v>1365</v>
      </c>
      <c r="L123">
        <v>970</v>
      </c>
      <c r="M123">
        <v>1294</v>
      </c>
      <c r="N123">
        <v>930</v>
      </c>
      <c r="O123">
        <v>1252</v>
      </c>
      <c r="P123">
        <v>964</v>
      </c>
      <c r="Q123">
        <v>1394</v>
      </c>
      <c r="R123">
        <v>1006</v>
      </c>
      <c r="S123">
        <v>1078</v>
      </c>
      <c r="T123">
        <v>972.2</v>
      </c>
      <c r="U123">
        <v>1286</v>
      </c>
      <c r="V123">
        <v>965.9</v>
      </c>
      <c r="W123">
        <v>1282.3</v>
      </c>
    </row>
    <row r="124" spans="4:23" hidden="1">
      <c r="D124" s="221">
        <v>0.25</v>
      </c>
      <c r="E124" t="s">
        <v>155</v>
      </c>
      <c r="F124">
        <v>962</v>
      </c>
      <c r="G124">
        <v>1317</v>
      </c>
      <c r="H124">
        <v>962</v>
      </c>
      <c r="I124">
        <v>1248</v>
      </c>
      <c r="J124">
        <v>1044</v>
      </c>
      <c r="K124">
        <v>1268</v>
      </c>
      <c r="L124">
        <v>918</v>
      </c>
      <c r="M124">
        <v>1143</v>
      </c>
      <c r="N124">
        <v>774</v>
      </c>
      <c r="O124">
        <v>1205</v>
      </c>
      <c r="P124">
        <v>990</v>
      </c>
      <c r="Q124">
        <v>987</v>
      </c>
      <c r="R124">
        <v>893</v>
      </c>
      <c r="S124">
        <v>1060</v>
      </c>
      <c r="T124">
        <v>970.2</v>
      </c>
      <c r="U124">
        <v>1176</v>
      </c>
      <c r="V124">
        <v>934.7</v>
      </c>
      <c r="W124">
        <v>1175.4000000000001</v>
      </c>
    </row>
    <row r="125" spans="4:23" hidden="1">
      <c r="D125" s="221">
        <v>0.29166666666666669</v>
      </c>
      <c r="E125" t="s">
        <v>155</v>
      </c>
      <c r="F125">
        <v>746</v>
      </c>
      <c r="G125">
        <v>1022</v>
      </c>
      <c r="H125">
        <v>774</v>
      </c>
      <c r="I125">
        <v>953</v>
      </c>
      <c r="J125">
        <v>889</v>
      </c>
      <c r="K125">
        <v>1122</v>
      </c>
      <c r="L125">
        <v>795</v>
      </c>
      <c r="M125">
        <v>1096</v>
      </c>
      <c r="N125">
        <v>682</v>
      </c>
      <c r="O125">
        <v>1179</v>
      </c>
      <c r="P125">
        <v>685</v>
      </c>
      <c r="Q125">
        <v>926</v>
      </c>
      <c r="R125">
        <v>720</v>
      </c>
      <c r="S125">
        <v>781</v>
      </c>
      <c r="T125">
        <v>762.8</v>
      </c>
      <c r="U125">
        <v>960.8</v>
      </c>
      <c r="V125">
        <v>755.9</v>
      </c>
      <c r="W125">
        <v>1011.3</v>
      </c>
    </row>
    <row r="126" spans="4:23" hidden="1">
      <c r="D126" s="221">
        <v>0.33333333333333331</v>
      </c>
      <c r="E126" t="s">
        <v>155</v>
      </c>
      <c r="F126">
        <v>672</v>
      </c>
      <c r="G126">
        <v>782</v>
      </c>
      <c r="H126">
        <v>564</v>
      </c>
      <c r="I126">
        <v>796</v>
      </c>
      <c r="J126">
        <v>616</v>
      </c>
      <c r="K126">
        <v>860</v>
      </c>
      <c r="L126">
        <v>617</v>
      </c>
      <c r="M126">
        <v>925</v>
      </c>
      <c r="N126">
        <v>546</v>
      </c>
      <c r="O126">
        <v>891</v>
      </c>
      <c r="P126">
        <v>583</v>
      </c>
      <c r="Q126">
        <v>728</v>
      </c>
      <c r="R126">
        <v>522</v>
      </c>
      <c r="S126">
        <v>640</v>
      </c>
      <c r="T126">
        <v>591.4</v>
      </c>
      <c r="U126">
        <v>761.2</v>
      </c>
      <c r="V126">
        <v>588.6</v>
      </c>
      <c r="W126">
        <v>803.1</v>
      </c>
    </row>
    <row r="127" spans="4:23" hidden="1">
      <c r="D127" s="221">
        <v>0.375</v>
      </c>
      <c r="E127" t="s">
        <v>155</v>
      </c>
      <c r="F127">
        <v>496</v>
      </c>
      <c r="G127">
        <v>671</v>
      </c>
      <c r="H127">
        <v>515</v>
      </c>
      <c r="I127">
        <v>694</v>
      </c>
      <c r="J127">
        <v>554</v>
      </c>
      <c r="K127">
        <v>888</v>
      </c>
      <c r="L127">
        <v>571</v>
      </c>
      <c r="M127">
        <v>948</v>
      </c>
      <c r="N127">
        <v>404</v>
      </c>
      <c r="O127">
        <v>695</v>
      </c>
      <c r="P127">
        <v>429</v>
      </c>
      <c r="Q127">
        <v>656</v>
      </c>
      <c r="R127">
        <v>474</v>
      </c>
      <c r="S127">
        <v>630</v>
      </c>
      <c r="T127">
        <v>493.6</v>
      </c>
      <c r="U127">
        <v>707.8</v>
      </c>
      <c r="V127">
        <v>491.9</v>
      </c>
      <c r="W127">
        <v>740.3</v>
      </c>
    </row>
    <row r="128" spans="4:23" hidden="1">
      <c r="D128" s="221">
        <v>0.41666666666666669</v>
      </c>
      <c r="E128" t="s">
        <v>155</v>
      </c>
      <c r="F128">
        <v>352</v>
      </c>
      <c r="G128">
        <v>464</v>
      </c>
      <c r="H128">
        <v>354</v>
      </c>
      <c r="I128">
        <v>486</v>
      </c>
      <c r="J128">
        <v>475</v>
      </c>
      <c r="K128">
        <v>631</v>
      </c>
      <c r="L128">
        <v>437</v>
      </c>
      <c r="M128">
        <v>851</v>
      </c>
      <c r="N128">
        <v>250</v>
      </c>
      <c r="O128">
        <v>468</v>
      </c>
      <c r="P128">
        <v>285</v>
      </c>
      <c r="Q128">
        <v>460</v>
      </c>
      <c r="R128">
        <v>306</v>
      </c>
      <c r="S128">
        <v>431</v>
      </c>
      <c r="T128">
        <v>354.4</v>
      </c>
      <c r="U128">
        <v>494.4</v>
      </c>
      <c r="V128">
        <v>351.3</v>
      </c>
      <c r="W128">
        <v>541.6</v>
      </c>
    </row>
    <row r="129" spans="4:23" hidden="1">
      <c r="D129" s="221">
        <v>0.45833333333333331</v>
      </c>
      <c r="E129" t="s">
        <v>155</v>
      </c>
      <c r="F129">
        <v>174</v>
      </c>
      <c r="G129">
        <v>290</v>
      </c>
      <c r="H129">
        <v>176</v>
      </c>
      <c r="I129">
        <v>310</v>
      </c>
      <c r="J129">
        <v>333</v>
      </c>
      <c r="K129">
        <v>490</v>
      </c>
      <c r="L129">
        <v>346</v>
      </c>
      <c r="M129">
        <v>638</v>
      </c>
      <c r="N129">
        <v>154</v>
      </c>
      <c r="O129">
        <v>326</v>
      </c>
      <c r="P129">
        <v>138</v>
      </c>
      <c r="Q129">
        <v>258</v>
      </c>
      <c r="R129">
        <v>162</v>
      </c>
      <c r="S129">
        <v>255</v>
      </c>
      <c r="T129">
        <v>196.6</v>
      </c>
      <c r="U129">
        <v>320.60000000000002</v>
      </c>
      <c r="V129">
        <v>211.9</v>
      </c>
      <c r="W129">
        <v>366.7</v>
      </c>
    </row>
    <row r="130" spans="4:23" hidden="1"/>
    <row r="131" spans="4:23" hidden="1">
      <c r="D131" t="s">
        <v>251</v>
      </c>
    </row>
    <row r="132" spans="4:23" hidden="1">
      <c r="F132" s="275" t="s">
        <v>242</v>
      </c>
      <c r="G132" s="275" t="s">
        <v>243</v>
      </c>
      <c r="H132" s="275" t="s">
        <v>244</v>
      </c>
      <c r="I132" s="275" t="s">
        <v>245</v>
      </c>
      <c r="J132" s="275" t="s">
        <v>246</v>
      </c>
      <c r="K132" s="275" t="s">
        <v>247</v>
      </c>
      <c r="L132" s="275" t="s">
        <v>241</v>
      </c>
      <c r="M132" s="275" t="s">
        <v>252</v>
      </c>
      <c r="N132" s="275" t="s">
        <v>253</v>
      </c>
    </row>
    <row r="133" spans="4:23" hidden="1">
      <c r="F133" s="219">
        <v>43035</v>
      </c>
      <c r="L133" s="219">
        <v>43041</v>
      </c>
    </row>
    <row r="134" spans="4:23" hidden="1">
      <c r="D134" s="221">
        <v>0.5</v>
      </c>
      <c r="E134" t="s">
        <v>156</v>
      </c>
      <c r="F134">
        <v>162</v>
      </c>
      <c r="G134">
        <v>258</v>
      </c>
      <c r="H134">
        <v>274</v>
      </c>
      <c r="I134">
        <v>102</v>
      </c>
      <c r="J134">
        <v>120</v>
      </c>
      <c r="K134">
        <v>172</v>
      </c>
      <c r="L134">
        <v>104</v>
      </c>
      <c r="M134">
        <v>132</v>
      </c>
      <c r="N134">
        <v>170.3</v>
      </c>
    </row>
    <row r="135" spans="4:23" hidden="1">
      <c r="D135" s="221">
        <v>4.1666666666666664E-2</v>
      </c>
      <c r="E135" t="s">
        <v>156</v>
      </c>
      <c r="F135">
        <v>100</v>
      </c>
      <c r="G135">
        <v>154</v>
      </c>
      <c r="H135">
        <v>172</v>
      </c>
      <c r="I135">
        <v>82</v>
      </c>
      <c r="J135">
        <v>75</v>
      </c>
      <c r="K135">
        <v>85</v>
      </c>
      <c r="L135">
        <v>72</v>
      </c>
      <c r="M135">
        <v>82.8</v>
      </c>
      <c r="N135">
        <v>105.7</v>
      </c>
    </row>
    <row r="136" spans="4:23" hidden="1">
      <c r="D136" s="221">
        <v>8.3333333333333329E-2</v>
      </c>
      <c r="E136" t="s">
        <v>156</v>
      </c>
      <c r="F136">
        <v>78</v>
      </c>
      <c r="G136">
        <v>132</v>
      </c>
      <c r="H136">
        <v>170</v>
      </c>
      <c r="I136">
        <v>55</v>
      </c>
      <c r="J136">
        <v>64</v>
      </c>
      <c r="K136">
        <v>74</v>
      </c>
      <c r="L136">
        <v>58</v>
      </c>
      <c r="M136">
        <v>65.8</v>
      </c>
      <c r="N136">
        <v>90.1</v>
      </c>
    </row>
    <row r="137" spans="4:23" hidden="1">
      <c r="D137" s="221">
        <v>0.125</v>
      </c>
      <c r="E137" t="s">
        <v>156</v>
      </c>
      <c r="F137">
        <v>68</v>
      </c>
      <c r="G137">
        <v>93</v>
      </c>
      <c r="H137">
        <v>99</v>
      </c>
      <c r="I137">
        <v>55</v>
      </c>
      <c r="J137">
        <v>65</v>
      </c>
      <c r="K137">
        <v>67</v>
      </c>
      <c r="L137">
        <v>52</v>
      </c>
      <c r="M137">
        <v>61.4</v>
      </c>
      <c r="N137">
        <v>71.3</v>
      </c>
    </row>
    <row r="138" spans="4:23" hidden="1">
      <c r="D138" s="221">
        <v>0.16666666666666666</v>
      </c>
      <c r="E138" t="s">
        <v>156</v>
      </c>
      <c r="F138">
        <v>124</v>
      </c>
      <c r="G138">
        <v>86</v>
      </c>
      <c r="H138">
        <v>86</v>
      </c>
      <c r="I138">
        <v>114</v>
      </c>
      <c r="J138">
        <v>107</v>
      </c>
      <c r="K138">
        <v>116</v>
      </c>
      <c r="L138">
        <v>120</v>
      </c>
      <c r="M138">
        <v>116.2</v>
      </c>
      <c r="N138">
        <v>107.6</v>
      </c>
    </row>
    <row r="139" spans="4:23" hidden="1">
      <c r="D139" s="221">
        <v>0.20833333333333334</v>
      </c>
      <c r="E139" t="s">
        <v>156</v>
      </c>
      <c r="F139">
        <v>341</v>
      </c>
      <c r="G139">
        <v>136</v>
      </c>
      <c r="H139">
        <v>101</v>
      </c>
      <c r="I139">
        <v>321</v>
      </c>
      <c r="J139">
        <v>348</v>
      </c>
      <c r="K139">
        <v>378</v>
      </c>
      <c r="L139">
        <v>324</v>
      </c>
      <c r="M139">
        <v>342.4</v>
      </c>
      <c r="N139">
        <v>278.39999999999998</v>
      </c>
    </row>
    <row r="140" spans="4:23" hidden="1">
      <c r="D140" s="221">
        <v>0.25</v>
      </c>
      <c r="E140" t="s">
        <v>156</v>
      </c>
      <c r="F140">
        <v>640</v>
      </c>
      <c r="G140">
        <v>272</v>
      </c>
      <c r="H140">
        <v>208</v>
      </c>
      <c r="I140">
        <v>530</v>
      </c>
      <c r="J140">
        <v>529</v>
      </c>
      <c r="K140">
        <v>500</v>
      </c>
      <c r="L140">
        <v>546</v>
      </c>
      <c r="M140">
        <v>549</v>
      </c>
      <c r="N140">
        <v>460.7</v>
      </c>
    </row>
    <row r="141" spans="4:23" hidden="1">
      <c r="D141" s="221">
        <v>0.29166666666666669</v>
      </c>
      <c r="E141" t="s">
        <v>156</v>
      </c>
      <c r="F141">
        <v>840</v>
      </c>
      <c r="G141">
        <v>489</v>
      </c>
      <c r="H141">
        <v>318</v>
      </c>
      <c r="I141">
        <v>670</v>
      </c>
      <c r="J141">
        <v>702</v>
      </c>
      <c r="K141">
        <v>638</v>
      </c>
      <c r="L141">
        <v>684</v>
      </c>
      <c r="M141">
        <v>706.8</v>
      </c>
      <c r="N141">
        <v>620.1</v>
      </c>
    </row>
    <row r="142" spans="4:23" hidden="1">
      <c r="D142" s="221">
        <v>0.33333333333333331</v>
      </c>
      <c r="E142" t="s">
        <v>156</v>
      </c>
      <c r="F142">
        <v>928</v>
      </c>
      <c r="G142">
        <v>764</v>
      </c>
      <c r="H142">
        <v>441</v>
      </c>
      <c r="I142">
        <v>774</v>
      </c>
      <c r="J142">
        <v>782</v>
      </c>
      <c r="K142">
        <v>802</v>
      </c>
      <c r="L142">
        <v>802</v>
      </c>
      <c r="M142">
        <v>817.6</v>
      </c>
      <c r="N142">
        <v>756.1</v>
      </c>
    </row>
    <row r="143" spans="4:23" hidden="1">
      <c r="D143" s="221">
        <v>0.375</v>
      </c>
      <c r="E143" t="s">
        <v>156</v>
      </c>
      <c r="F143">
        <v>946</v>
      </c>
      <c r="G143">
        <v>900</v>
      </c>
      <c r="H143">
        <v>709</v>
      </c>
      <c r="I143">
        <v>822</v>
      </c>
      <c r="J143">
        <v>847</v>
      </c>
      <c r="K143">
        <v>810</v>
      </c>
      <c r="L143">
        <v>734</v>
      </c>
      <c r="M143">
        <v>831.8</v>
      </c>
      <c r="N143">
        <v>824</v>
      </c>
    </row>
    <row r="144" spans="4:23" hidden="1">
      <c r="D144" s="221">
        <v>0.41666666666666669</v>
      </c>
      <c r="E144" t="s">
        <v>156</v>
      </c>
      <c r="F144">
        <v>878</v>
      </c>
      <c r="G144">
        <v>1064</v>
      </c>
      <c r="H144">
        <v>886</v>
      </c>
      <c r="I144">
        <v>820</v>
      </c>
      <c r="J144">
        <v>830</v>
      </c>
      <c r="K144">
        <v>870</v>
      </c>
      <c r="L144">
        <v>866</v>
      </c>
      <c r="M144">
        <v>852.8</v>
      </c>
      <c r="N144">
        <v>887.7</v>
      </c>
    </row>
    <row r="145" spans="4:14" hidden="1">
      <c r="D145" s="221">
        <v>0.45833333333333331</v>
      </c>
      <c r="E145" t="s">
        <v>156</v>
      </c>
      <c r="F145">
        <v>1028</v>
      </c>
      <c r="G145">
        <v>1170</v>
      </c>
      <c r="H145">
        <v>974</v>
      </c>
      <c r="I145">
        <v>845</v>
      </c>
      <c r="J145">
        <v>932</v>
      </c>
      <c r="K145">
        <v>902</v>
      </c>
      <c r="L145">
        <v>890</v>
      </c>
      <c r="M145">
        <v>919.4</v>
      </c>
      <c r="N145">
        <v>963</v>
      </c>
    </row>
    <row r="146" spans="4:14" hidden="1">
      <c r="D146" s="221">
        <v>0.5</v>
      </c>
      <c r="E146" t="s">
        <v>155</v>
      </c>
      <c r="F146">
        <v>1105</v>
      </c>
      <c r="G146">
        <v>1191</v>
      </c>
      <c r="H146">
        <v>1216</v>
      </c>
      <c r="I146">
        <v>896</v>
      </c>
      <c r="J146">
        <v>958</v>
      </c>
      <c r="K146">
        <v>994</v>
      </c>
      <c r="L146">
        <v>1068</v>
      </c>
      <c r="M146">
        <v>1004.2</v>
      </c>
      <c r="N146">
        <v>1061.0999999999999</v>
      </c>
    </row>
    <row r="147" spans="4:14" hidden="1">
      <c r="D147" s="221">
        <v>4.1666666666666664E-2</v>
      </c>
      <c r="E147" t="s">
        <v>155</v>
      </c>
      <c r="F147">
        <v>1119</v>
      </c>
      <c r="G147">
        <v>1314</v>
      </c>
      <c r="H147">
        <v>1261</v>
      </c>
      <c r="I147">
        <v>978</v>
      </c>
      <c r="J147">
        <v>1004</v>
      </c>
      <c r="K147">
        <v>986</v>
      </c>
      <c r="L147">
        <v>1029</v>
      </c>
      <c r="M147">
        <v>1023.2</v>
      </c>
      <c r="N147">
        <v>1098.7</v>
      </c>
    </row>
    <row r="148" spans="4:14" hidden="1">
      <c r="D148" s="221">
        <v>8.3333333333333329E-2</v>
      </c>
      <c r="E148" t="s">
        <v>155</v>
      </c>
      <c r="F148">
        <v>1246</v>
      </c>
      <c r="G148">
        <v>1322</v>
      </c>
      <c r="H148">
        <v>1110</v>
      </c>
      <c r="I148">
        <v>1138</v>
      </c>
      <c r="J148">
        <v>1131</v>
      </c>
      <c r="K148">
        <v>1126</v>
      </c>
      <c r="L148">
        <v>1138</v>
      </c>
      <c r="M148">
        <v>1155.8</v>
      </c>
      <c r="N148">
        <v>1173</v>
      </c>
    </row>
    <row r="149" spans="4:14" hidden="1">
      <c r="D149" s="221">
        <v>0.125</v>
      </c>
      <c r="E149" t="s">
        <v>155</v>
      </c>
      <c r="F149">
        <v>1524</v>
      </c>
      <c r="G149">
        <v>1334</v>
      </c>
      <c r="H149">
        <v>1048</v>
      </c>
      <c r="I149">
        <v>1314</v>
      </c>
      <c r="J149">
        <v>1336</v>
      </c>
      <c r="K149">
        <v>1283</v>
      </c>
      <c r="L149">
        <v>1361</v>
      </c>
      <c r="M149">
        <v>1363.6</v>
      </c>
      <c r="N149">
        <v>1314.3</v>
      </c>
    </row>
    <row r="150" spans="4:14" hidden="1">
      <c r="D150" s="221">
        <v>0.16666666666666666</v>
      </c>
      <c r="E150" t="s">
        <v>155</v>
      </c>
      <c r="F150">
        <v>1530</v>
      </c>
      <c r="G150">
        <v>1361</v>
      </c>
      <c r="H150">
        <v>1162</v>
      </c>
      <c r="I150">
        <v>1276</v>
      </c>
      <c r="J150">
        <v>1385</v>
      </c>
      <c r="K150">
        <v>1322</v>
      </c>
      <c r="L150">
        <v>1372</v>
      </c>
      <c r="M150">
        <v>1377</v>
      </c>
      <c r="N150">
        <v>1344</v>
      </c>
    </row>
    <row r="151" spans="4:14" hidden="1">
      <c r="D151" s="221">
        <v>0.20833333333333334</v>
      </c>
      <c r="E151" t="s">
        <v>155</v>
      </c>
      <c r="F151">
        <v>1522</v>
      </c>
      <c r="G151">
        <v>1402</v>
      </c>
      <c r="H151">
        <v>1208</v>
      </c>
      <c r="I151">
        <v>1412</v>
      </c>
      <c r="J151">
        <v>1418</v>
      </c>
      <c r="K151">
        <v>1400</v>
      </c>
      <c r="L151">
        <v>1422</v>
      </c>
      <c r="M151">
        <v>1434.8</v>
      </c>
      <c r="N151">
        <v>1397.7</v>
      </c>
    </row>
    <row r="152" spans="4:14" hidden="1">
      <c r="D152" s="221">
        <v>0.25</v>
      </c>
      <c r="E152" t="s">
        <v>155</v>
      </c>
      <c r="F152">
        <v>1350</v>
      </c>
      <c r="G152">
        <v>1358</v>
      </c>
      <c r="H152">
        <v>1086</v>
      </c>
      <c r="I152">
        <v>1190</v>
      </c>
      <c r="J152">
        <v>1182</v>
      </c>
      <c r="K152">
        <v>1270</v>
      </c>
      <c r="L152">
        <v>1258</v>
      </c>
      <c r="M152">
        <v>1250</v>
      </c>
      <c r="N152">
        <v>1242</v>
      </c>
    </row>
    <row r="153" spans="4:14" hidden="1">
      <c r="D153" s="221">
        <v>0.29166666666666669</v>
      </c>
      <c r="E153" t="s">
        <v>155</v>
      </c>
      <c r="F153">
        <v>1026</v>
      </c>
      <c r="G153">
        <v>1098</v>
      </c>
      <c r="H153">
        <v>838</v>
      </c>
      <c r="I153">
        <v>926</v>
      </c>
      <c r="J153">
        <v>808</v>
      </c>
      <c r="K153">
        <v>894</v>
      </c>
      <c r="L153">
        <v>892</v>
      </c>
      <c r="M153">
        <v>909.2</v>
      </c>
      <c r="N153">
        <v>926</v>
      </c>
    </row>
    <row r="154" spans="4:14" hidden="1">
      <c r="D154" s="221">
        <v>0.33333333333333331</v>
      </c>
      <c r="E154" t="s">
        <v>155</v>
      </c>
      <c r="F154">
        <v>904</v>
      </c>
      <c r="G154">
        <v>904</v>
      </c>
      <c r="H154">
        <v>648</v>
      </c>
      <c r="I154">
        <v>636</v>
      </c>
      <c r="J154">
        <v>766</v>
      </c>
      <c r="K154">
        <v>748</v>
      </c>
      <c r="L154">
        <v>724</v>
      </c>
      <c r="M154">
        <v>755.6</v>
      </c>
      <c r="N154">
        <v>761.4</v>
      </c>
    </row>
    <row r="155" spans="4:14" hidden="1">
      <c r="D155" s="221">
        <v>0.375</v>
      </c>
      <c r="E155" t="s">
        <v>155</v>
      </c>
      <c r="F155">
        <v>746</v>
      </c>
      <c r="G155">
        <v>734</v>
      </c>
      <c r="H155">
        <v>510</v>
      </c>
      <c r="I155">
        <v>544</v>
      </c>
      <c r="J155">
        <v>710</v>
      </c>
      <c r="K155">
        <v>614</v>
      </c>
      <c r="L155">
        <v>672</v>
      </c>
      <c r="M155">
        <v>657.2</v>
      </c>
      <c r="N155">
        <v>647.1</v>
      </c>
    </row>
    <row r="156" spans="4:14" hidden="1">
      <c r="D156" s="221">
        <v>0.41666666666666669</v>
      </c>
      <c r="E156" t="s">
        <v>155</v>
      </c>
      <c r="F156">
        <v>515</v>
      </c>
      <c r="G156">
        <v>621</v>
      </c>
      <c r="H156">
        <v>387</v>
      </c>
      <c r="I156">
        <v>422</v>
      </c>
      <c r="J156">
        <v>407</v>
      </c>
      <c r="K156">
        <v>401</v>
      </c>
      <c r="L156">
        <v>431</v>
      </c>
      <c r="M156">
        <v>435.2</v>
      </c>
      <c r="N156">
        <v>454.9</v>
      </c>
    </row>
    <row r="157" spans="4:14" hidden="1">
      <c r="D157" s="221">
        <v>0.45833333333333331</v>
      </c>
      <c r="E157" t="s">
        <v>155</v>
      </c>
      <c r="F157">
        <v>376</v>
      </c>
      <c r="G157">
        <v>396</v>
      </c>
      <c r="H157">
        <v>202</v>
      </c>
      <c r="I157">
        <v>210</v>
      </c>
      <c r="J157">
        <v>244</v>
      </c>
      <c r="K157">
        <v>202</v>
      </c>
      <c r="L157">
        <v>286</v>
      </c>
      <c r="M157">
        <v>263.60000000000002</v>
      </c>
      <c r="N157">
        <v>273.7</v>
      </c>
    </row>
    <row r="158" spans="4:14" hidden="1"/>
    <row r="159" spans="4:14" hidden="1">
      <c r="D159" t="s">
        <v>230</v>
      </c>
    </row>
    <row r="160" spans="4:14" hidden="1">
      <c r="F160" s="275" t="s">
        <v>247</v>
      </c>
      <c r="G160" s="275" t="s">
        <v>243</v>
      </c>
      <c r="H160" s="275" t="s">
        <v>244</v>
      </c>
      <c r="I160" s="275" t="s">
        <v>245</v>
      </c>
      <c r="J160" s="275" t="s">
        <v>246</v>
      </c>
      <c r="K160" s="275" t="s">
        <v>247</v>
      </c>
      <c r="L160" s="275" t="s">
        <v>241</v>
      </c>
      <c r="M160" s="275" t="s">
        <v>252</v>
      </c>
      <c r="N160" s="275" t="s">
        <v>253</v>
      </c>
    </row>
    <row r="161" spans="4:14" hidden="1">
      <c r="F161" s="219">
        <v>43026</v>
      </c>
      <c r="L161" s="219">
        <v>43041</v>
      </c>
    </row>
    <row r="162" spans="4:14" hidden="1">
      <c r="D162" s="221">
        <v>0.5</v>
      </c>
      <c r="E162" t="s">
        <v>156</v>
      </c>
      <c r="F162">
        <v>113</v>
      </c>
      <c r="G162">
        <v>146</v>
      </c>
      <c r="H162">
        <v>170</v>
      </c>
      <c r="I162">
        <v>272</v>
      </c>
      <c r="J162">
        <v>280</v>
      </c>
      <c r="K162">
        <v>122</v>
      </c>
      <c r="L162">
        <v>136</v>
      </c>
      <c r="M162">
        <v>137.4</v>
      </c>
      <c r="N162">
        <v>177</v>
      </c>
    </row>
    <row r="163" spans="4:14" hidden="1">
      <c r="D163" s="221">
        <v>4.1666666666666664E-2</v>
      </c>
      <c r="E163" t="s">
        <v>156</v>
      </c>
      <c r="F163">
        <v>49</v>
      </c>
      <c r="G163">
        <v>75</v>
      </c>
      <c r="H163">
        <v>85</v>
      </c>
      <c r="I163">
        <v>139</v>
      </c>
      <c r="J163">
        <v>164</v>
      </c>
      <c r="K163">
        <v>82</v>
      </c>
      <c r="L163">
        <v>62</v>
      </c>
      <c r="M163">
        <v>70.599999999999994</v>
      </c>
      <c r="N163">
        <v>93.7</v>
      </c>
    </row>
    <row r="164" spans="4:14" hidden="1">
      <c r="D164" s="221">
        <v>8.3333333333333329E-2</v>
      </c>
      <c r="E164" t="s">
        <v>156</v>
      </c>
      <c r="F164">
        <v>72</v>
      </c>
      <c r="G164">
        <v>84</v>
      </c>
      <c r="H164">
        <v>66</v>
      </c>
      <c r="I164">
        <v>119</v>
      </c>
      <c r="J164">
        <v>163</v>
      </c>
      <c r="K164">
        <v>68</v>
      </c>
      <c r="L164">
        <v>72</v>
      </c>
      <c r="M164">
        <v>72.400000000000006</v>
      </c>
      <c r="N164">
        <v>92</v>
      </c>
    </row>
    <row r="165" spans="4:14" hidden="1">
      <c r="D165" s="221">
        <v>0.125</v>
      </c>
      <c r="E165" t="s">
        <v>156</v>
      </c>
      <c r="F165">
        <v>58</v>
      </c>
      <c r="G165">
        <v>52</v>
      </c>
      <c r="H165">
        <v>85</v>
      </c>
      <c r="I165">
        <v>86</v>
      </c>
      <c r="J165">
        <v>96</v>
      </c>
      <c r="K165">
        <v>69</v>
      </c>
      <c r="L165">
        <v>62</v>
      </c>
      <c r="M165">
        <v>65.2</v>
      </c>
      <c r="N165">
        <v>72.599999999999994</v>
      </c>
    </row>
    <row r="166" spans="4:14" hidden="1">
      <c r="D166" s="221">
        <v>0.16666666666666666</v>
      </c>
      <c r="E166" t="s">
        <v>156</v>
      </c>
      <c r="F166">
        <v>178</v>
      </c>
      <c r="G166">
        <v>168</v>
      </c>
      <c r="H166">
        <v>162</v>
      </c>
      <c r="I166">
        <v>100</v>
      </c>
      <c r="J166">
        <v>60</v>
      </c>
      <c r="K166">
        <v>206</v>
      </c>
      <c r="L166">
        <v>176</v>
      </c>
      <c r="M166">
        <v>178</v>
      </c>
      <c r="N166">
        <v>150</v>
      </c>
    </row>
    <row r="167" spans="4:14" hidden="1">
      <c r="D167" s="221">
        <v>0.20833333333333334</v>
      </c>
      <c r="E167" t="s">
        <v>156</v>
      </c>
      <c r="F167">
        <v>565</v>
      </c>
      <c r="G167">
        <v>591</v>
      </c>
      <c r="H167">
        <v>541</v>
      </c>
      <c r="I167">
        <v>175</v>
      </c>
      <c r="J167">
        <v>110</v>
      </c>
      <c r="K167">
        <v>574</v>
      </c>
      <c r="L167">
        <v>622</v>
      </c>
      <c r="M167">
        <v>578.6</v>
      </c>
      <c r="N167">
        <v>454</v>
      </c>
    </row>
    <row r="168" spans="4:14" hidden="1">
      <c r="D168" s="221">
        <v>0.25</v>
      </c>
      <c r="E168" t="s">
        <v>156</v>
      </c>
      <c r="F168">
        <v>1207</v>
      </c>
      <c r="G168">
        <v>1242</v>
      </c>
      <c r="H168">
        <v>1174</v>
      </c>
      <c r="I168">
        <v>334</v>
      </c>
      <c r="J168">
        <v>222</v>
      </c>
      <c r="K168">
        <v>1218</v>
      </c>
      <c r="L168">
        <v>1210</v>
      </c>
      <c r="M168">
        <v>1210.2</v>
      </c>
      <c r="N168">
        <v>943.9</v>
      </c>
    </row>
    <row r="169" spans="4:14" hidden="1">
      <c r="D169" s="221">
        <v>0.29166666666666669</v>
      </c>
      <c r="E169" t="s">
        <v>156</v>
      </c>
      <c r="F169">
        <v>1352</v>
      </c>
      <c r="G169">
        <v>1346</v>
      </c>
      <c r="H169">
        <v>1379</v>
      </c>
      <c r="I169">
        <v>533</v>
      </c>
      <c r="J169">
        <v>322</v>
      </c>
      <c r="K169">
        <v>1399</v>
      </c>
      <c r="L169">
        <v>1366</v>
      </c>
      <c r="M169">
        <v>1368.4</v>
      </c>
      <c r="N169">
        <v>1099.5999999999999</v>
      </c>
    </row>
    <row r="170" spans="4:14" hidden="1">
      <c r="D170" s="221">
        <v>0.33333333333333331</v>
      </c>
      <c r="E170" t="s">
        <v>156</v>
      </c>
      <c r="F170">
        <v>1422</v>
      </c>
      <c r="G170">
        <v>1456</v>
      </c>
      <c r="H170">
        <v>1405</v>
      </c>
      <c r="I170">
        <v>836</v>
      </c>
      <c r="J170">
        <v>538</v>
      </c>
      <c r="K170">
        <v>1576</v>
      </c>
      <c r="L170">
        <v>1508</v>
      </c>
      <c r="M170">
        <v>1473.4</v>
      </c>
      <c r="N170">
        <v>1248.7</v>
      </c>
    </row>
    <row r="171" spans="4:14" hidden="1">
      <c r="D171" s="221">
        <v>0.375</v>
      </c>
      <c r="E171" t="s">
        <v>156</v>
      </c>
      <c r="F171">
        <v>1189</v>
      </c>
      <c r="G171">
        <v>1190</v>
      </c>
      <c r="H171">
        <v>1044</v>
      </c>
      <c r="I171">
        <v>1001</v>
      </c>
      <c r="J171">
        <v>845</v>
      </c>
      <c r="K171">
        <v>1274</v>
      </c>
      <c r="L171">
        <v>1164</v>
      </c>
      <c r="M171">
        <v>1172.2</v>
      </c>
      <c r="N171">
        <v>1101</v>
      </c>
    </row>
    <row r="172" spans="4:14" hidden="1">
      <c r="D172" s="221">
        <v>0.41666666666666669</v>
      </c>
      <c r="E172" t="s">
        <v>156</v>
      </c>
      <c r="F172">
        <v>1034</v>
      </c>
      <c r="G172">
        <v>1110</v>
      </c>
      <c r="H172">
        <v>1160</v>
      </c>
      <c r="I172">
        <v>1058</v>
      </c>
      <c r="J172">
        <v>1011</v>
      </c>
      <c r="K172">
        <v>1197</v>
      </c>
      <c r="L172">
        <v>1081</v>
      </c>
      <c r="M172">
        <v>1116.4000000000001</v>
      </c>
      <c r="N172">
        <v>1093</v>
      </c>
    </row>
    <row r="173" spans="4:14" hidden="1">
      <c r="D173" s="221">
        <v>0.45833333333333331</v>
      </c>
      <c r="E173" t="s">
        <v>156</v>
      </c>
      <c r="F173">
        <v>870</v>
      </c>
      <c r="G173">
        <v>978</v>
      </c>
      <c r="H173">
        <v>994</v>
      </c>
      <c r="I173">
        <v>1034</v>
      </c>
      <c r="J173">
        <v>1082</v>
      </c>
      <c r="K173">
        <v>1009</v>
      </c>
      <c r="L173">
        <v>1008</v>
      </c>
      <c r="M173">
        <v>971.8</v>
      </c>
      <c r="N173">
        <v>996.4</v>
      </c>
    </row>
    <row r="174" spans="4:14" hidden="1">
      <c r="D174" s="221">
        <v>0.5</v>
      </c>
      <c r="E174" t="s">
        <v>155</v>
      </c>
      <c r="F174">
        <v>912</v>
      </c>
      <c r="G174">
        <v>998</v>
      </c>
      <c r="H174">
        <v>1005</v>
      </c>
      <c r="I174">
        <v>1003</v>
      </c>
      <c r="J174">
        <v>1225</v>
      </c>
      <c r="K174">
        <v>1050</v>
      </c>
      <c r="L174">
        <v>1088</v>
      </c>
      <c r="M174">
        <v>1010.6</v>
      </c>
      <c r="N174">
        <v>1040.0999999999999</v>
      </c>
    </row>
    <row r="175" spans="4:14" hidden="1">
      <c r="D175" s="221">
        <v>4.1666666666666664E-2</v>
      </c>
      <c r="E175" t="s">
        <v>155</v>
      </c>
      <c r="F175">
        <v>870</v>
      </c>
      <c r="G175">
        <v>934</v>
      </c>
      <c r="H175">
        <v>980</v>
      </c>
      <c r="I175">
        <v>1091</v>
      </c>
      <c r="J175">
        <v>1109</v>
      </c>
      <c r="K175">
        <v>1026</v>
      </c>
      <c r="L175">
        <v>870</v>
      </c>
      <c r="M175">
        <v>936</v>
      </c>
      <c r="N175">
        <v>982.9</v>
      </c>
    </row>
    <row r="176" spans="4:14" hidden="1">
      <c r="D176" s="221">
        <v>8.3333333333333329E-2</v>
      </c>
      <c r="E176" t="s">
        <v>155</v>
      </c>
      <c r="F176">
        <v>944</v>
      </c>
      <c r="G176">
        <v>937</v>
      </c>
      <c r="H176">
        <v>1120</v>
      </c>
      <c r="I176">
        <v>1016</v>
      </c>
      <c r="J176">
        <v>1092</v>
      </c>
      <c r="K176">
        <v>1090</v>
      </c>
      <c r="L176">
        <v>1078</v>
      </c>
      <c r="M176">
        <v>1033.8</v>
      </c>
      <c r="N176">
        <v>1039.5999999999999</v>
      </c>
    </row>
    <row r="177" spans="4:23" hidden="1">
      <c r="D177" s="221">
        <v>0.125</v>
      </c>
      <c r="E177" t="s">
        <v>155</v>
      </c>
      <c r="F177">
        <v>936</v>
      </c>
      <c r="G177">
        <v>1012</v>
      </c>
      <c r="H177">
        <v>1030</v>
      </c>
      <c r="I177">
        <v>977</v>
      </c>
      <c r="J177">
        <v>1006</v>
      </c>
      <c r="K177">
        <v>1043</v>
      </c>
      <c r="L177">
        <v>1096</v>
      </c>
      <c r="M177">
        <v>1023.4</v>
      </c>
      <c r="N177">
        <v>1014.3</v>
      </c>
    </row>
    <row r="178" spans="4:23" hidden="1">
      <c r="D178" s="221">
        <v>0.16666666666666666</v>
      </c>
      <c r="E178" t="s">
        <v>155</v>
      </c>
      <c r="F178">
        <v>1004</v>
      </c>
      <c r="G178">
        <v>918</v>
      </c>
      <c r="H178">
        <v>1111</v>
      </c>
      <c r="I178">
        <v>994</v>
      </c>
      <c r="J178">
        <v>1021</v>
      </c>
      <c r="K178">
        <v>1147</v>
      </c>
      <c r="L178">
        <v>1119</v>
      </c>
      <c r="M178">
        <v>1059.8</v>
      </c>
      <c r="N178">
        <v>1044.9000000000001</v>
      </c>
    </row>
    <row r="179" spans="4:23" hidden="1">
      <c r="D179" s="221">
        <v>0.20833333333333334</v>
      </c>
      <c r="E179" t="s">
        <v>155</v>
      </c>
      <c r="F179">
        <v>1011</v>
      </c>
      <c r="G179">
        <v>979</v>
      </c>
      <c r="H179">
        <v>1124</v>
      </c>
      <c r="I179">
        <v>848</v>
      </c>
      <c r="J179">
        <v>1134</v>
      </c>
      <c r="K179">
        <v>1194</v>
      </c>
      <c r="L179">
        <v>1192</v>
      </c>
      <c r="M179">
        <v>1100</v>
      </c>
      <c r="N179">
        <v>1068.9000000000001</v>
      </c>
    </row>
    <row r="180" spans="4:23" hidden="1">
      <c r="D180" s="221">
        <v>0.25</v>
      </c>
      <c r="E180" t="s">
        <v>155</v>
      </c>
      <c r="F180">
        <v>1036</v>
      </c>
      <c r="G180">
        <v>1010</v>
      </c>
      <c r="H180">
        <v>1086</v>
      </c>
      <c r="I180">
        <v>848</v>
      </c>
      <c r="J180">
        <v>971</v>
      </c>
      <c r="K180">
        <v>1196</v>
      </c>
      <c r="L180">
        <v>1114</v>
      </c>
      <c r="M180">
        <v>1088.4000000000001</v>
      </c>
      <c r="N180">
        <v>1037.3</v>
      </c>
    </row>
    <row r="181" spans="4:23" hidden="1">
      <c r="D181" s="221">
        <v>0.29166666666666669</v>
      </c>
      <c r="E181" t="s">
        <v>155</v>
      </c>
      <c r="F181">
        <v>864</v>
      </c>
      <c r="G181">
        <v>812</v>
      </c>
      <c r="H181">
        <v>928</v>
      </c>
      <c r="I181">
        <v>710</v>
      </c>
      <c r="J181">
        <v>764</v>
      </c>
      <c r="K181">
        <v>870</v>
      </c>
      <c r="L181">
        <v>845</v>
      </c>
      <c r="M181">
        <v>863.8</v>
      </c>
      <c r="N181">
        <v>827.6</v>
      </c>
    </row>
    <row r="182" spans="4:23" hidden="1">
      <c r="D182" s="221">
        <v>0.33333333333333331</v>
      </c>
      <c r="E182" t="s">
        <v>155</v>
      </c>
      <c r="F182">
        <v>646</v>
      </c>
      <c r="G182">
        <v>647</v>
      </c>
      <c r="H182">
        <v>696</v>
      </c>
      <c r="I182">
        <v>696</v>
      </c>
      <c r="J182">
        <v>644</v>
      </c>
      <c r="K182">
        <v>632</v>
      </c>
      <c r="L182">
        <v>712</v>
      </c>
      <c r="M182">
        <v>666.6</v>
      </c>
      <c r="N182">
        <v>667.6</v>
      </c>
    </row>
    <row r="183" spans="4:23" hidden="1">
      <c r="D183" s="221">
        <v>0.375</v>
      </c>
      <c r="E183" t="s">
        <v>155</v>
      </c>
      <c r="F183">
        <v>588</v>
      </c>
      <c r="G183">
        <v>666</v>
      </c>
      <c r="H183">
        <v>656</v>
      </c>
      <c r="I183">
        <v>666</v>
      </c>
      <c r="J183">
        <v>484</v>
      </c>
      <c r="K183">
        <v>545</v>
      </c>
      <c r="L183">
        <v>582</v>
      </c>
      <c r="M183">
        <v>607.4</v>
      </c>
      <c r="N183">
        <v>598.1</v>
      </c>
    </row>
    <row r="184" spans="4:23" hidden="1">
      <c r="D184" s="221">
        <v>0.41666666666666669</v>
      </c>
      <c r="E184" t="s">
        <v>155</v>
      </c>
      <c r="F184">
        <v>424</v>
      </c>
      <c r="G184">
        <v>414</v>
      </c>
      <c r="H184">
        <v>540</v>
      </c>
      <c r="I184">
        <v>542</v>
      </c>
      <c r="J184">
        <v>334</v>
      </c>
      <c r="K184">
        <v>361</v>
      </c>
      <c r="L184">
        <v>386</v>
      </c>
      <c r="M184">
        <v>425</v>
      </c>
      <c r="N184">
        <v>428.7</v>
      </c>
    </row>
    <row r="185" spans="4:23" hidden="1">
      <c r="D185" s="221">
        <v>0.45833333333333331</v>
      </c>
      <c r="E185" t="s">
        <v>155</v>
      </c>
      <c r="F185">
        <v>225</v>
      </c>
      <c r="G185">
        <v>254</v>
      </c>
      <c r="H185">
        <v>414</v>
      </c>
      <c r="I185">
        <v>433</v>
      </c>
      <c r="J185">
        <v>221</v>
      </c>
      <c r="K185">
        <v>204</v>
      </c>
      <c r="L185">
        <v>239</v>
      </c>
      <c r="M185">
        <v>267.2</v>
      </c>
      <c r="N185">
        <v>284.3</v>
      </c>
    </row>
    <row r="186" spans="4:23" hidden="1"/>
    <row r="187" spans="4:23" ht="15" thickBot="1">
      <c r="D187" s="156"/>
      <c r="E187" s="156"/>
      <c r="F187" s="156"/>
      <c r="G187" s="156"/>
      <c r="H187" s="156"/>
      <c r="I187" s="156"/>
      <c r="J187" s="156"/>
      <c r="K187" s="156"/>
      <c r="L187" s="156"/>
      <c r="M187" s="156"/>
      <c r="N187" s="156"/>
      <c r="O187" s="156"/>
      <c r="P187" s="156"/>
      <c r="Q187" s="156"/>
      <c r="R187" s="156"/>
      <c r="S187" s="156"/>
      <c r="T187" s="156"/>
      <c r="U187" s="156"/>
      <c r="V187" s="156"/>
      <c r="W187" s="156"/>
    </row>
    <row r="188" spans="4:23">
      <c r="D188" s="8" t="s">
        <v>340</v>
      </c>
    </row>
    <row r="189" spans="4:23" ht="48" hidden="1" customHeight="1">
      <c r="F189" s="439" t="s">
        <v>254</v>
      </c>
      <c r="G189" s="439"/>
      <c r="H189" s="440"/>
      <c r="I189" s="440"/>
      <c r="J189" s="440"/>
      <c r="K189" s="440"/>
      <c r="L189" s="440"/>
      <c r="M189" s="440"/>
      <c r="N189" s="440"/>
      <c r="O189" s="440"/>
      <c r="P189" s="280" t="s">
        <v>231</v>
      </c>
      <c r="Q189" s="200"/>
      <c r="R189" s="280" t="s">
        <v>255</v>
      </c>
      <c r="S189" s="280" t="s">
        <v>256</v>
      </c>
      <c r="T189" s="428" t="s">
        <v>234</v>
      </c>
      <c r="U189" s="428"/>
      <c r="V189" s="428"/>
      <c r="W189" s="201"/>
    </row>
    <row r="190" spans="4:23" ht="22.5" hidden="1" customHeight="1">
      <c r="D190" s="8" t="s">
        <v>257</v>
      </c>
      <c r="F190" s="202"/>
      <c r="G190" s="202"/>
      <c r="H190" s="203"/>
      <c r="I190" s="203"/>
      <c r="J190" s="203"/>
      <c r="K190" s="203"/>
      <c r="L190" s="203"/>
      <c r="M190" s="203"/>
      <c r="N190" s="203"/>
      <c r="O190" s="203"/>
      <c r="P190" s="203"/>
      <c r="Q190" s="204"/>
      <c r="R190" s="205">
        <f>SUM(R191:R214)</f>
        <v>14.920909460103829</v>
      </c>
      <c r="S190" s="205">
        <f>SUM(S191:S214)</f>
        <v>9.261902889023812</v>
      </c>
      <c r="T190" s="419" t="s">
        <v>291</v>
      </c>
      <c r="U190" s="420"/>
      <c r="V190" s="421"/>
      <c r="W190" s="201"/>
    </row>
    <row r="191" spans="4:23">
      <c r="D191" s="357">
        <v>0.5</v>
      </c>
      <c r="E191" s="358" t="s">
        <v>156</v>
      </c>
      <c r="F191" s="359">
        <v>149.30000000000001</v>
      </c>
      <c r="G191" s="359">
        <v>167.7</v>
      </c>
      <c r="H191" s="358"/>
      <c r="I191" s="358"/>
      <c r="J191" s="358"/>
      <c r="K191" s="358"/>
      <c r="L191" s="358"/>
      <c r="M191" s="358"/>
      <c r="N191" s="358"/>
      <c r="O191" s="358"/>
      <c r="P191" s="360">
        <f t="shared" ref="P191:P214" si="7">AVERAGE(N191,F191:L191)</f>
        <v>158.5</v>
      </c>
      <c r="Q191" s="444" t="s">
        <v>156</v>
      </c>
      <c r="R191" s="361">
        <f t="shared" ref="R191:R202" si="8">P191/$P$199</f>
        <v>0.15321411309811503</v>
      </c>
      <c r="S191" s="362">
        <v>0</v>
      </c>
      <c r="T191" s="251"/>
      <c r="U191" s="319">
        <f>P191/$T$198</f>
        <v>0.16143543431394183</v>
      </c>
      <c r="V191" s="320">
        <v>0</v>
      </c>
      <c r="W191" s="443"/>
    </row>
    <row r="192" spans="4:23">
      <c r="D192" s="363">
        <v>4.1666666666666664E-2</v>
      </c>
      <c r="E192" s="116" t="s">
        <v>156</v>
      </c>
      <c r="F192" s="364">
        <v>91.9</v>
      </c>
      <c r="G192" s="364">
        <v>109.4</v>
      </c>
      <c r="H192" s="116"/>
      <c r="I192" s="116"/>
      <c r="J192" s="116"/>
      <c r="K192" s="116"/>
      <c r="L192" s="116"/>
      <c r="M192" s="116"/>
      <c r="N192" s="116"/>
      <c r="O192" s="116"/>
      <c r="P192" s="350">
        <f t="shared" si="7"/>
        <v>100.65</v>
      </c>
      <c r="Q192" s="445"/>
      <c r="R192" s="348">
        <f t="shared" si="8"/>
        <v>9.729337844369261E-2</v>
      </c>
      <c r="S192" s="365">
        <v>0</v>
      </c>
      <c r="T192" s="247"/>
      <c r="U192" s="344">
        <f t="shared" ref="U192:U198" si="9">P192/$T$198</f>
        <v>0.10251404708957884</v>
      </c>
      <c r="V192" s="322">
        <v>0</v>
      </c>
      <c r="W192" s="443"/>
    </row>
    <row r="193" spans="4:23">
      <c r="D193" s="363">
        <v>8.3333333333333329E-2</v>
      </c>
      <c r="E193" s="116" t="s">
        <v>156</v>
      </c>
      <c r="F193" s="364">
        <v>89.3</v>
      </c>
      <c r="G193" s="364">
        <v>96.7</v>
      </c>
      <c r="H193" s="116"/>
      <c r="I193" s="116"/>
      <c r="J193" s="116"/>
      <c r="K193" s="116"/>
      <c r="L193" s="116"/>
      <c r="M193" s="116"/>
      <c r="N193" s="116"/>
      <c r="O193" s="116"/>
      <c r="P193" s="350">
        <f t="shared" si="7"/>
        <v>93</v>
      </c>
      <c r="Q193" s="445"/>
      <c r="R193" s="348">
        <f t="shared" si="8"/>
        <v>8.9898501691638474E-2</v>
      </c>
      <c r="S193" s="365">
        <v>0</v>
      </c>
      <c r="T193" s="247"/>
      <c r="U193" s="321">
        <f t="shared" si="9"/>
        <v>9.4722368398716658E-2</v>
      </c>
      <c r="V193" s="322">
        <v>0</v>
      </c>
      <c r="W193" s="443"/>
    </row>
    <row r="194" spans="4:23">
      <c r="D194" s="363">
        <v>0.125</v>
      </c>
      <c r="E194" s="116" t="s">
        <v>156</v>
      </c>
      <c r="F194" s="116">
        <v>65.7</v>
      </c>
      <c r="G194" s="116">
        <v>69.099999999999994</v>
      </c>
      <c r="H194" s="116"/>
      <c r="I194" s="116"/>
      <c r="J194" s="116"/>
      <c r="K194" s="116"/>
      <c r="L194" s="116"/>
      <c r="M194" s="116"/>
      <c r="N194" s="116"/>
      <c r="O194" s="116"/>
      <c r="P194" s="350">
        <f t="shared" si="7"/>
        <v>67.400000000000006</v>
      </c>
      <c r="Q194" s="445"/>
      <c r="R194" s="348">
        <f t="shared" si="8"/>
        <v>6.5152247462542293E-2</v>
      </c>
      <c r="S194" s="365">
        <v>0</v>
      </c>
      <c r="T194" s="247"/>
      <c r="U194" s="321">
        <f t="shared" si="9"/>
        <v>6.8648254086811869E-2</v>
      </c>
      <c r="V194" s="322">
        <v>0</v>
      </c>
      <c r="W194" s="443"/>
    </row>
    <row r="195" spans="4:23">
      <c r="D195" s="363">
        <v>0.16666666666666666</v>
      </c>
      <c r="E195" s="116" t="s">
        <v>156</v>
      </c>
      <c r="F195" s="116">
        <v>110.7</v>
      </c>
      <c r="G195" s="116">
        <v>127.1</v>
      </c>
      <c r="H195" s="116"/>
      <c r="I195" s="116"/>
      <c r="J195" s="116"/>
      <c r="K195" s="116"/>
      <c r="L195" s="116"/>
      <c r="M195" s="116"/>
      <c r="N195" s="116"/>
      <c r="O195" s="116"/>
      <c r="P195" s="350">
        <f t="shared" si="7"/>
        <v>118.9</v>
      </c>
      <c r="Q195" s="445"/>
      <c r="R195" s="348">
        <f t="shared" si="8"/>
        <v>0.11493475108748188</v>
      </c>
      <c r="S195" s="365">
        <v>0</v>
      </c>
      <c r="T195" s="247"/>
      <c r="U195" s="321">
        <f t="shared" si="9"/>
        <v>0.12110203873771411</v>
      </c>
      <c r="V195" s="322">
        <v>0</v>
      </c>
      <c r="W195" s="443"/>
    </row>
    <row r="196" spans="4:23">
      <c r="D196" s="363">
        <v>0.20833333333333334</v>
      </c>
      <c r="E196" s="116" t="s">
        <v>156</v>
      </c>
      <c r="F196" s="116">
        <v>294.7</v>
      </c>
      <c r="G196" s="116">
        <v>306.3</v>
      </c>
      <c r="H196" s="116"/>
      <c r="I196" s="116"/>
      <c r="J196" s="116"/>
      <c r="K196" s="116"/>
      <c r="L196" s="116"/>
      <c r="M196" s="116"/>
      <c r="N196" s="116"/>
      <c r="O196" s="116"/>
      <c r="P196" s="350">
        <f t="shared" si="7"/>
        <v>300.5</v>
      </c>
      <c r="Q196" s="445"/>
      <c r="R196" s="348">
        <f t="shared" si="8"/>
        <v>0.29047849202513293</v>
      </c>
      <c r="S196" s="365">
        <v>0</v>
      </c>
      <c r="T196" s="247"/>
      <c r="U196" s="321">
        <f t="shared" si="9"/>
        <v>0.3060652871377888</v>
      </c>
      <c r="V196" s="322">
        <v>0</v>
      </c>
      <c r="W196" s="443"/>
    </row>
    <row r="197" spans="4:23">
      <c r="D197" s="363">
        <v>0.25</v>
      </c>
      <c r="E197" s="116" t="s">
        <v>156</v>
      </c>
      <c r="F197" s="116">
        <v>866.1</v>
      </c>
      <c r="G197" s="116">
        <v>530.29999999999995</v>
      </c>
      <c r="H197" s="116"/>
      <c r="I197" s="116"/>
      <c r="J197" s="116"/>
      <c r="K197" s="116"/>
      <c r="L197" s="116"/>
      <c r="M197" s="116"/>
      <c r="N197" s="116"/>
      <c r="O197" s="116"/>
      <c r="P197" s="350">
        <f t="shared" si="7"/>
        <v>698.2</v>
      </c>
      <c r="Q197" s="445"/>
      <c r="R197" s="348">
        <f t="shared" si="8"/>
        <v>0.67491541807636546</v>
      </c>
      <c r="S197" s="365">
        <v>0</v>
      </c>
      <c r="T197" s="247"/>
      <c r="U197" s="321">
        <f t="shared" si="9"/>
        <v>0.71113072705359115</v>
      </c>
      <c r="V197" s="322">
        <v>0</v>
      </c>
    </row>
    <row r="198" spans="4:23">
      <c r="D198" s="363">
        <v>0.29166666666666669</v>
      </c>
      <c r="E198" s="116" t="s">
        <v>156</v>
      </c>
      <c r="F198" s="116">
        <v>1323.7</v>
      </c>
      <c r="G198" s="116">
        <v>704.9</v>
      </c>
      <c r="H198" s="346"/>
      <c r="I198" s="346"/>
      <c r="J198" s="346"/>
      <c r="K198" s="116"/>
      <c r="L198" s="116"/>
      <c r="M198" s="116"/>
      <c r="N198" s="116"/>
      <c r="O198" s="116"/>
      <c r="P198" s="350">
        <f t="shared" si="7"/>
        <v>1014.3</v>
      </c>
      <c r="Q198" s="445"/>
      <c r="R198" s="348">
        <f t="shared" si="8"/>
        <v>0.98047365877235371</v>
      </c>
      <c r="S198" s="365">
        <f>R198</f>
        <v>0.98047365877235371</v>
      </c>
      <c r="T198" s="441">
        <f>AVERAGE(P198:P200)</f>
        <v>981.81666666666672</v>
      </c>
      <c r="U198" s="321">
        <f t="shared" si="9"/>
        <v>1.0330849276001968</v>
      </c>
      <c r="V198" s="322">
        <v>1</v>
      </c>
    </row>
    <row r="199" spans="4:23">
      <c r="D199" s="366">
        <v>0.33333333333333331</v>
      </c>
      <c r="E199" s="351" t="s">
        <v>156</v>
      </c>
      <c r="F199" s="116">
        <v>1148.5999999999999</v>
      </c>
      <c r="G199" s="116">
        <v>920.4</v>
      </c>
      <c r="H199" s="346"/>
      <c r="I199" s="346"/>
      <c r="J199" s="346"/>
      <c r="K199" s="116"/>
      <c r="L199" s="116"/>
      <c r="M199" s="116"/>
      <c r="N199" s="116"/>
      <c r="O199" s="116"/>
      <c r="P199" s="352">
        <f t="shared" si="7"/>
        <v>1034.5</v>
      </c>
      <c r="Q199" s="445"/>
      <c r="R199" s="348">
        <f t="shared" si="8"/>
        <v>1</v>
      </c>
      <c r="S199" s="349">
        <f>R199</f>
        <v>1</v>
      </c>
      <c r="T199" s="442"/>
      <c r="U199" s="323"/>
      <c r="V199" s="237"/>
      <c r="W199" s="330">
        <f>SUM(V191:V202)/9</f>
        <v>0.22222222222222221</v>
      </c>
    </row>
    <row r="200" spans="4:23">
      <c r="D200" s="363">
        <v>0.375</v>
      </c>
      <c r="E200" s="116" t="s">
        <v>156</v>
      </c>
      <c r="F200" s="116">
        <v>922.3</v>
      </c>
      <c r="G200" s="116">
        <v>871</v>
      </c>
      <c r="H200" s="346"/>
      <c r="I200" s="346"/>
      <c r="J200" s="346"/>
      <c r="K200" s="116"/>
      <c r="L200" s="116"/>
      <c r="M200" s="116"/>
      <c r="N200" s="116"/>
      <c r="O200" s="116"/>
      <c r="P200" s="350">
        <f t="shared" si="7"/>
        <v>896.65</v>
      </c>
      <c r="Q200" s="445"/>
      <c r="R200" s="348">
        <f t="shared" si="8"/>
        <v>0.86674722087965195</v>
      </c>
      <c r="S200" s="349">
        <f>R200*0.5</f>
        <v>0.43337361043982597</v>
      </c>
      <c r="T200" s="442"/>
      <c r="U200" s="323"/>
      <c r="V200" s="237"/>
    </row>
    <row r="201" spans="4:23">
      <c r="D201" s="363">
        <v>0.41666666666666669</v>
      </c>
      <c r="E201" s="116" t="s">
        <v>156</v>
      </c>
      <c r="F201" s="351">
        <v>884.3</v>
      </c>
      <c r="G201" s="116">
        <v>845.3</v>
      </c>
      <c r="H201" s="346"/>
      <c r="I201" s="346"/>
      <c r="J201" s="346"/>
      <c r="K201" s="116"/>
      <c r="L201" s="116"/>
      <c r="M201" s="116"/>
      <c r="N201" s="116"/>
      <c r="O201" s="116"/>
      <c r="P201" s="350">
        <f t="shared" si="7"/>
        <v>864.8</v>
      </c>
      <c r="Q201" s="445"/>
      <c r="R201" s="348">
        <f t="shared" si="8"/>
        <v>0.83595940067665531</v>
      </c>
      <c r="S201" s="349">
        <f>R201*0.5</f>
        <v>0.41797970033832765</v>
      </c>
      <c r="T201" s="343"/>
      <c r="U201" s="321">
        <f t="shared" ref="U201:U202" si="10">P201/$T$198</f>
        <v>0.88081617409903401</v>
      </c>
      <c r="V201" s="322">
        <v>0.5</v>
      </c>
    </row>
    <row r="202" spans="4:23">
      <c r="D202" s="363">
        <v>0.45833333333333331</v>
      </c>
      <c r="E202" s="116" t="s">
        <v>156</v>
      </c>
      <c r="F202" s="116">
        <v>944</v>
      </c>
      <c r="G202" s="351">
        <v>850.6</v>
      </c>
      <c r="H202" s="346"/>
      <c r="I202" s="346"/>
      <c r="J202" s="346"/>
      <c r="K202" s="116"/>
      <c r="L202" s="116"/>
      <c r="M202" s="116"/>
      <c r="N202" s="116"/>
      <c r="O202" s="116"/>
      <c r="P202" s="350">
        <f t="shared" si="7"/>
        <v>897.3</v>
      </c>
      <c r="Q202" s="445"/>
      <c r="R202" s="348">
        <f t="shared" si="8"/>
        <v>0.86737554374093762</v>
      </c>
      <c r="S202" s="349">
        <f>R202*0.5</f>
        <v>0.43368777187046881</v>
      </c>
      <c r="T202" s="329"/>
      <c r="U202" s="321">
        <f t="shared" si="10"/>
        <v>0.91391807703406935</v>
      </c>
      <c r="V202" s="322">
        <v>0.5</v>
      </c>
    </row>
    <row r="203" spans="4:23">
      <c r="D203" s="363">
        <v>0.5</v>
      </c>
      <c r="E203" s="116" t="s">
        <v>155</v>
      </c>
      <c r="F203" s="116">
        <v>971.4</v>
      </c>
      <c r="G203" s="116">
        <v>882.1</v>
      </c>
      <c r="H203" s="346"/>
      <c r="I203" s="346"/>
      <c r="J203" s="346"/>
      <c r="K203" s="116"/>
      <c r="L203" s="116"/>
      <c r="M203" s="116"/>
      <c r="N203" s="116"/>
      <c r="O203" s="116"/>
      <c r="P203" s="347">
        <f t="shared" si="7"/>
        <v>926.75</v>
      </c>
      <c r="Q203" s="446" t="s">
        <v>155</v>
      </c>
      <c r="R203" s="348">
        <f t="shared" ref="R203:R214" si="11">P203/$P$208</f>
        <v>0.85281126345817626</v>
      </c>
      <c r="S203" s="349">
        <f>R203*0.5</f>
        <v>0.42640563172908813</v>
      </c>
      <c r="T203" s="329"/>
      <c r="U203" s="321">
        <f>P203/$T$208</f>
        <v>0.88789001373231569</v>
      </c>
      <c r="V203" s="322">
        <v>0.5</v>
      </c>
    </row>
    <row r="204" spans="4:23">
      <c r="D204" s="363">
        <v>4.1666666666666664E-2</v>
      </c>
      <c r="E204" s="116" t="s">
        <v>155</v>
      </c>
      <c r="F204" s="116">
        <v>991.6</v>
      </c>
      <c r="G204" s="116">
        <v>875.3</v>
      </c>
      <c r="H204" s="346"/>
      <c r="I204" s="346"/>
      <c r="J204" s="346"/>
      <c r="K204" s="116"/>
      <c r="L204" s="116"/>
      <c r="M204" s="116"/>
      <c r="N204" s="116"/>
      <c r="O204" s="116"/>
      <c r="P204" s="347">
        <f t="shared" si="7"/>
        <v>933.45</v>
      </c>
      <c r="Q204" s="446"/>
      <c r="R204" s="348">
        <f t="shared" si="11"/>
        <v>0.85897671850556745</v>
      </c>
      <c r="S204" s="349">
        <f>R204*0.5</f>
        <v>0.42948835925278372</v>
      </c>
      <c r="T204" s="329"/>
      <c r="U204" s="321">
        <f t="shared" ref="U204:U206" si="12">P204/$T$208</f>
        <v>0.89430907290901551</v>
      </c>
      <c r="V204" s="322">
        <v>0.5</v>
      </c>
    </row>
    <row r="205" spans="4:23">
      <c r="D205" s="363">
        <v>8.3333333333333329E-2</v>
      </c>
      <c r="E205" s="116" t="s">
        <v>155</v>
      </c>
      <c r="F205" s="116">
        <v>982</v>
      </c>
      <c r="G205" s="116">
        <v>998.6</v>
      </c>
      <c r="H205" s="346"/>
      <c r="I205" s="346"/>
      <c r="J205" s="346"/>
      <c r="K205" s="116"/>
      <c r="L205" s="116"/>
      <c r="M205" s="116"/>
      <c r="N205" s="116"/>
      <c r="O205" s="116"/>
      <c r="P205" s="350">
        <f t="shared" si="7"/>
        <v>990.3</v>
      </c>
      <c r="Q205" s="446"/>
      <c r="R205" s="348">
        <f t="shared" si="11"/>
        <v>0.91129106469126731</v>
      </c>
      <c r="S205" s="349">
        <f>R205</f>
        <v>0.91129106469126731</v>
      </c>
      <c r="T205" s="329"/>
      <c r="U205" s="321">
        <f t="shared" si="12"/>
        <v>0.94877526905757992</v>
      </c>
      <c r="V205" s="322">
        <v>1</v>
      </c>
    </row>
    <row r="206" spans="4:23">
      <c r="D206" s="363">
        <v>0.125</v>
      </c>
      <c r="E206" s="116" t="s">
        <v>155</v>
      </c>
      <c r="F206" s="116">
        <v>1137.7</v>
      </c>
      <c r="G206" s="116">
        <v>1004.7</v>
      </c>
      <c r="H206" s="346"/>
      <c r="I206" s="346"/>
      <c r="J206" s="346"/>
      <c r="K206" s="116"/>
      <c r="L206" s="116"/>
      <c r="M206" s="116"/>
      <c r="N206" s="116"/>
      <c r="O206" s="116"/>
      <c r="P206" s="350">
        <f t="shared" si="7"/>
        <v>1071.2</v>
      </c>
      <c r="Q206" s="446"/>
      <c r="R206" s="348">
        <f t="shared" si="11"/>
        <v>0.98573663384558774</v>
      </c>
      <c r="S206" s="349">
        <f>R206</f>
        <v>0.98573663384558774</v>
      </c>
      <c r="T206" s="329"/>
      <c r="U206" s="321">
        <f t="shared" si="12"/>
        <v>1.0262830134448953</v>
      </c>
      <c r="V206" s="322">
        <v>1</v>
      </c>
    </row>
    <row r="207" spans="4:23">
      <c r="D207" s="363">
        <v>0.16666666666666666</v>
      </c>
      <c r="E207" s="116" t="s">
        <v>155</v>
      </c>
      <c r="F207" s="116">
        <v>1017.3</v>
      </c>
      <c r="G207" s="116">
        <v>1057.3</v>
      </c>
      <c r="H207" s="346"/>
      <c r="I207" s="346"/>
      <c r="J207" s="346"/>
      <c r="K207" s="116"/>
      <c r="L207" s="116"/>
      <c r="M207" s="116"/>
      <c r="N207" s="116"/>
      <c r="O207" s="116"/>
      <c r="P207" s="350">
        <f t="shared" si="7"/>
        <v>1037.3</v>
      </c>
      <c r="Q207" s="446"/>
      <c r="R207" s="348">
        <f t="shared" si="11"/>
        <v>0.95454127174013081</v>
      </c>
      <c r="S207" s="349">
        <f>R207</f>
        <v>0.95454127174013081</v>
      </c>
      <c r="T207" s="326"/>
      <c r="U207" s="323"/>
      <c r="V207" s="237"/>
    </row>
    <row r="208" spans="4:23">
      <c r="D208" s="366">
        <v>0.20833333333333334</v>
      </c>
      <c r="E208" s="351" t="s">
        <v>155</v>
      </c>
      <c r="F208" s="116">
        <v>1064.3</v>
      </c>
      <c r="G208" s="116">
        <v>1109.0999999999999</v>
      </c>
      <c r="H208" s="346"/>
      <c r="I208" s="346"/>
      <c r="J208" s="346"/>
      <c r="K208" s="116"/>
      <c r="L208" s="116"/>
      <c r="M208" s="116"/>
      <c r="N208" s="116"/>
      <c r="O208" s="116"/>
      <c r="P208" s="352">
        <f t="shared" si="7"/>
        <v>1086.6999999999998</v>
      </c>
      <c r="Q208" s="446"/>
      <c r="R208" s="348">
        <f t="shared" si="11"/>
        <v>1</v>
      </c>
      <c r="S208" s="349">
        <f>R208</f>
        <v>1</v>
      </c>
      <c r="T208" s="327">
        <f>AVERAGE(P207:P209)</f>
        <v>1043.7666666666667</v>
      </c>
      <c r="U208" s="323"/>
      <c r="V208" s="237"/>
      <c r="W208" s="330">
        <f>SUM(V203:V214)/9</f>
        <v>0.3888888888888889</v>
      </c>
    </row>
    <row r="209" spans="4:23">
      <c r="D209" s="363">
        <v>0.25</v>
      </c>
      <c r="E209" s="116" t="s">
        <v>155</v>
      </c>
      <c r="F209" s="116">
        <v>1003.6</v>
      </c>
      <c r="G209" s="116">
        <v>1011</v>
      </c>
      <c r="H209" s="346"/>
      <c r="I209" s="346"/>
      <c r="J209" s="346"/>
      <c r="K209" s="116"/>
      <c r="L209" s="116"/>
      <c r="M209" s="116"/>
      <c r="N209" s="116"/>
      <c r="O209" s="116"/>
      <c r="P209" s="350">
        <f t="shared" si="7"/>
        <v>1007.3</v>
      </c>
      <c r="Q209" s="446"/>
      <c r="R209" s="348">
        <f t="shared" si="11"/>
        <v>0.92693475660255831</v>
      </c>
      <c r="S209" s="349">
        <f>R209</f>
        <v>0.92693475660255831</v>
      </c>
      <c r="T209" s="328"/>
      <c r="U209" s="323"/>
      <c r="V209" s="237"/>
    </row>
    <row r="210" spans="4:23">
      <c r="D210" s="363">
        <v>0.29166666666666669</v>
      </c>
      <c r="E210" s="116" t="s">
        <v>155</v>
      </c>
      <c r="F210" s="351">
        <v>769.9</v>
      </c>
      <c r="G210" s="116">
        <v>803.6</v>
      </c>
      <c r="H210" s="116"/>
      <c r="I210" s="116"/>
      <c r="J210" s="116"/>
      <c r="K210" s="116"/>
      <c r="L210" s="116"/>
      <c r="M210" s="116"/>
      <c r="N210" s="116"/>
      <c r="O210" s="116"/>
      <c r="P210" s="350">
        <f t="shared" si="7"/>
        <v>786.75</v>
      </c>
      <c r="Q210" s="446"/>
      <c r="R210" s="348">
        <f t="shared" si="11"/>
        <v>0.72398085948283808</v>
      </c>
      <c r="S210" s="349">
        <f>R210/2</f>
        <v>0.36199042974141904</v>
      </c>
      <c r="T210" s="247"/>
      <c r="U210" s="321">
        <f t="shared" ref="U210:U214" si="13">P210/$T$208</f>
        <v>0.75376041899530544</v>
      </c>
      <c r="V210" s="322">
        <v>0.5</v>
      </c>
    </row>
    <row r="211" spans="4:23">
      <c r="D211" s="363">
        <v>0.33333333333333331</v>
      </c>
      <c r="E211" s="116" t="s">
        <v>155</v>
      </c>
      <c r="F211" s="116">
        <v>693</v>
      </c>
      <c r="G211" s="351">
        <v>618</v>
      </c>
      <c r="H211" s="116"/>
      <c r="I211" s="116"/>
      <c r="J211" s="116"/>
      <c r="K211" s="116"/>
      <c r="L211" s="116"/>
      <c r="M211" s="116"/>
      <c r="N211" s="116"/>
      <c r="O211" s="116"/>
      <c r="P211" s="350">
        <f t="shared" si="7"/>
        <v>655.5</v>
      </c>
      <c r="Q211" s="446"/>
      <c r="R211" s="348">
        <f t="shared" si="11"/>
        <v>0.60320235575595849</v>
      </c>
      <c r="S211" s="13">
        <v>0</v>
      </c>
      <c r="T211" s="247"/>
      <c r="U211" s="321">
        <f t="shared" si="13"/>
        <v>0.6280139239293584</v>
      </c>
      <c r="V211" s="322">
        <v>0</v>
      </c>
    </row>
    <row r="212" spans="4:23">
      <c r="D212" s="363">
        <v>0.375</v>
      </c>
      <c r="E212" s="116" t="s">
        <v>155</v>
      </c>
      <c r="F212" s="116">
        <v>523.70000000000005</v>
      </c>
      <c r="G212" s="116">
        <v>530.70000000000005</v>
      </c>
      <c r="H212" s="116"/>
      <c r="I212" s="116"/>
      <c r="J212" s="116"/>
      <c r="K212" s="116"/>
      <c r="L212" s="116"/>
      <c r="M212" s="116"/>
      <c r="N212" s="116"/>
      <c r="O212" s="116"/>
      <c r="P212" s="350">
        <f t="shared" si="7"/>
        <v>527.20000000000005</v>
      </c>
      <c r="Q212" s="446"/>
      <c r="R212" s="348">
        <f t="shared" si="11"/>
        <v>0.48513849268427361</v>
      </c>
      <c r="S212" s="13">
        <v>0</v>
      </c>
      <c r="T212" s="247"/>
      <c r="U212" s="321">
        <f t="shared" si="13"/>
        <v>0.50509373103822697</v>
      </c>
      <c r="V212" s="322">
        <v>0</v>
      </c>
    </row>
    <row r="213" spans="4:23">
      <c r="D213" s="363">
        <v>0.41666666666666669</v>
      </c>
      <c r="E213" s="116" t="s">
        <v>155</v>
      </c>
      <c r="F213" s="116">
        <v>389.4</v>
      </c>
      <c r="G213" s="116">
        <v>398.3</v>
      </c>
      <c r="H213" s="116"/>
      <c r="I213" s="116"/>
      <c r="J213" s="116"/>
      <c r="K213" s="116"/>
      <c r="L213" s="116"/>
      <c r="M213" s="116"/>
      <c r="N213" s="116"/>
      <c r="O213" s="116"/>
      <c r="P213" s="350">
        <f t="shared" si="7"/>
        <v>393.85</v>
      </c>
      <c r="Q213" s="446"/>
      <c r="R213" s="348">
        <f t="shared" si="11"/>
        <v>0.36242753289776397</v>
      </c>
      <c r="S213" s="13">
        <v>0</v>
      </c>
      <c r="T213" s="247"/>
      <c r="U213" s="321">
        <f t="shared" si="13"/>
        <v>0.37733529205122474</v>
      </c>
      <c r="V213" s="322">
        <v>0</v>
      </c>
    </row>
    <row r="214" spans="4:23">
      <c r="D214" s="367">
        <v>0.45833333333333331</v>
      </c>
      <c r="E214" s="353" t="s">
        <v>155</v>
      </c>
      <c r="F214" s="353">
        <v>222.6</v>
      </c>
      <c r="G214" s="353">
        <v>254.3</v>
      </c>
      <c r="H214" s="353"/>
      <c r="I214" s="353"/>
      <c r="J214" s="353"/>
      <c r="K214" s="353"/>
      <c r="L214" s="353"/>
      <c r="M214" s="353"/>
      <c r="N214" s="353"/>
      <c r="O214" s="353"/>
      <c r="P214" s="354">
        <f t="shared" si="7"/>
        <v>238.45</v>
      </c>
      <c r="Q214" s="447"/>
      <c r="R214" s="355">
        <f t="shared" si="11"/>
        <v>0.21942578448513853</v>
      </c>
      <c r="S214" s="356">
        <v>0</v>
      </c>
      <c r="T214" s="250"/>
      <c r="U214" s="324">
        <f t="shared" si="13"/>
        <v>0.22845144189314343</v>
      </c>
      <c r="V214" s="325">
        <v>0</v>
      </c>
    </row>
    <row r="215" spans="4:23">
      <c r="D215" s="219" t="s">
        <v>342</v>
      </c>
    </row>
    <row r="216" spans="4:23">
      <c r="D216" s="219"/>
    </row>
    <row r="217" spans="4:23">
      <c r="D217" s="219"/>
    </row>
    <row r="218" spans="4:23">
      <c r="D218" s="219" t="s">
        <v>254</v>
      </c>
    </row>
    <row r="219" spans="4:23">
      <c r="D219" s="219"/>
    </row>
    <row r="220" spans="4:23">
      <c r="D220" s="219"/>
      <c r="F220" s="438">
        <v>43031</v>
      </c>
      <c r="G220" s="438"/>
      <c r="T220" s="429" t="s">
        <v>248</v>
      </c>
      <c r="U220" s="429"/>
      <c r="V220" s="429" t="s">
        <v>226</v>
      </c>
      <c r="W220" s="429"/>
    </row>
    <row r="221" spans="4:23">
      <c r="F221" s="220" t="s">
        <v>250</v>
      </c>
      <c r="G221" s="220" t="s">
        <v>258</v>
      </c>
    </row>
    <row r="222" spans="4:23">
      <c r="D222" s="221">
        <v>0.5</v>
      </c>
      <c r="E222" t="s">
        <v>156</v>
      </c>
      <c r="F222" s="220">
        <v>117</v>
      </c>
      <c r="G222" s="220">
        <v>112</v>
      </c>
      <c r="H222" s="220">
        <v>99</v>
      </c>
      <c r="I222" s="220">
        <v>134</v>
      </c>
      <c r="J222" s="220">
        <v>118</v>
      </c>
      <c r="K222" s="220">
        <v>140</v>
      </c>
      <c r="L222" s="220">
        <v>121</v>
      </c>
      <c r="M222" s="220">
        <v>119</v>
      </c>
      <c r="N222" s="220">
        <v>135</v>
      </c>
      <c r="O222" s="220">
        <v>157</v>
      </c>
      <c r="P222" s="220">
        <v>206</v>
      </c>
      <c r="Q222" s="220">
        <v>226</v>
      </c>
      <c r="R222" s="220">
        <v>249</v>
      </c>
      <c r="S222" s="220">
        <v>286</v>
      </c>
      <c r="T222" s="220">
        <v>118</v>
      </c>
      <c r="U222" s="220">
        <v>132.4</v>
      </c>
      <c r="V222" s="220">
        <v>149.30000000000001</v>
      </c>
      <c r="W222" s="220">
        <v>167.7</v>
      </c>
    </row>
    <row r="223" spans="4:23">
      <c r="D223" s="221">
        <v>4.1666666666666664E-2</v>
      </c>
      <c r="E223" t="s">
        <v>156</v>
      </c>
      <c r="F223" s="220">
        <v>71</v>
      </c>
      <c r="G223" s="220">
        <v>90</v>
      </c>
      <c r="H223" s="220">
        <v>55</v>
      </c>
      <c r="I223" s="220">
        <v>81</v>
      </c>
      <c r="J223" s="220">
        <v>79</v>
      </c>
      <c r="K223" s="220">
        <v>89</v>
      </c>
      <c r="L223" s="220">
        <v>65</v>
      </c>
      <c r="M223" s="220">
        <v>71</v>
      </c>
      <c r="N223" s="220">
        <v>84</v>
      </c>
      <c r="O223" s="220">
        <v>76</v>
      </c>
      <c r="P223" s="220">
        <v>133</v>
      </c>
      <c r="Q223" s="220">
        <v>177</v>
      </c>
      <c r="R223" s="220">
        <v>156</v>
      </c>
      <c r="S223" s="220">
        <v>182</v>
      </c>
      <c r="T223" s="220">
        <v>70.8</v>
      </c>
      <c r="U223" s="220">
        <v>81.400000000000006</v>
      </c>
      <c r="V223" s="220">
        <v>91.9</v>
      </c>
      <c r="W223" s="220">
        <v>109.4</v>
      </c>
    </row>
    <row r="224" spans="4:23">
      <c r="D224" s="221">
        <v>8.3333333333333329E-2</v>
      </c>
      <c r="E224" t="s">
        <v>156</v>
      </c>
      <c r="F224" s="220">
        <v>64</v>
      </c>
      <c r="G224" s="220">
        <v>58</v>
      </c>
      <c r="H224" s="220">
        <v>64</v>
      </c>
      <c r="I224" s="220">
        <v>75</v>
      </c>
      <c r="J224" s="220">
        <v>74</v>
      </c>
      <c r="K224" s="220">
        <v>79</v>
      </c>
      <c r="L224" s="220">
        <v>75</v>
      </c>
      <c r="M224" s="220">
        <v>72</v>
      </c>
      <c r="N224" s="220">
        <v>77</v>
      </c>
      <c r="O224" s="220">
        <v>82</v>
      </c>
      <c r="P224" s="220">
        <v>122</v>
      </c>
      <c r="Q224" s="220">
        <v>140</v>
      </c>
      <c r="R224" s="220">
        <v>149</v>
      </c>
      <c r="S224" s="220">
        <v>171</v>
      </c>
      <c r="T224" s="220">
        <v>70.8</v>
      </c>
      <c r="U224" s="220">
        <v>73.2</v>
      </c>
      <c r="V224" s="220">
        <v>89.3</v>
      </c>
      <c r="W224" s="220">
        <v>96.7</v>
      </c>
    </row>
    <row r="225" spans="4:23">
      <c r="D225" s="221">
        <v>0.125</v>
      </c>
      <c r="E225" t="s">
        <v>156</v>
      </c>
      <c r="F225">
        <v>76</v>
      </c>
      <c r="G225">
        <v>35</v>
      </c>
      <c r="H225">
        <v>56</v>
      </c>
      <c r="I225">
        <v>58</v>
      </c>
      <c r="J225">
        <v>55</v>
      </c>
      <c r="K225">
        <v>57</v>
      </c>
      <c r="L225">
        <v>50</v>
      </c>
      <c r="M225">
        <v>50</v>
      </c>
      <c r="N225">
        <v>51</v>
      </c>
      <c r="O225">
        <v>77</v>
      </c>
      <c r="P225">
        <v>83</v>
      </c>
      <c r="Q225">
        <v>115</v>
      </c>
      <c r="R225">
        <v>89</v>
      </c>
      <c r="S225">
        <v>92</v>
      </c>
      <c r="T225">
        <v>57.6</v>
      </c>
      <c r="U225">
        <v>55.4</v>
      </c>
      <c r="V225">
        <v>65.7</v>
      </c>
      <c r="W225">
        <v>69.099999999999994</v>
      </c>
    </row>
    <row r="226" spans="4:23">
      <c r="D226" s="221">
        <v>0.16666666666666666</v>
      </c>
      <c r="E226" t="s">
        <v>156</v>
      </c>
      <c r="F226">
        <v>120</v>
      </c>
      <c r="G226">
        <v>115</v>
      </c>
      <c r="H226">
        <v>122</v>
      </c>
      <c r="I226">
        <v>156</v>
      </c>
      <c r="J226">
        <v>122</v>
      </c>
      <c r="K226">
        <v>149</v>
      </c>
      <c r="L226">
        <v>129</v>
      </c>
      <c r="M226">
        <v>120</v>
      </c>
      <c r="N226">
        <v>115</v>
      </c>
      <c r="O226">
        <v>142</v>
      </c>
      <c r="P226">
        <v>91</v>
      </c>
      <c r="Q226">
        <v>116</v>
      </c>
      <c r="R226">
        <v>76</v>
      </c>
      <c r="S226">
        <v>92</v>
      </c>
      <c r="T226">
        <v>121.6</v>
      </c>
      <c r="U226">
        <v>136.4</v>
      </c>
      <c r="V226">
        <v>110.7</v>
      </c>
      <c r="W226">
        <v>127.1</v>
      </c>
    </row>
    <row r="227" spans="4:23">
      <c r="D227" s="221">
        <v>0.20833333333333334</v>
      </c>
      <c r="E227" t="s">
        <v>156</v>
      </c>
      <c r="F227">
        <v>364</v>
      </c>
      <c r="G227">
        <v>297</v>
      </c>
      <c r="H227">
        <v>366</v>
      </c>
      <c r="I227">
        <v>451</v>
      </c>
      <c r="J227">
        <v>379</v>
      </c>
      <c r="K227">
        <v>411</v>
      </c>
      <c r="L227">
        <v>388</v>
      </c>
      <c r="M227">
        <v>333</v>
      </c>
      <c r="N227">
        <v>363</v>
      </c>
      <c r="O227">
        <v>344</v>
      </c>
      <c r="P227">
        <v>111</v>
      </c>
      <c r="Q227">
        <v>169</v>
      </c>
      <c r="R227">
        <v>92</v>
      </c>
      <c r="S227">
        <v>139</v>
      </c>
      <c r="T227">
        <v>372</v>
      </c>
      <c r="U227">
        <v>367.2</v>
      </c>
      <c r="V227">
        <v>294.7</v>
      </c>
      <c r="W227">
        <v>306.3</v>
      </c>
    </row>
    <row r="228" spans="4:23">
      <c r="D228" s="221">
        <v>0.25</v>
      </c>
      <c r="E228" t="s">
        <v>156</v>
      </c>
      <c r="F228">
        <v>1085</v>
      </c>
      <c r="G228">
        <v>575</v>
      </c>
      <c r="H228">
        <v>1179</v>
      </c>
      <c r="I228">
        <v>794</v>
      </c>
      <c r="J228">
        <v>1157</v>
      </c>
      <c r="K228">
        <v>653</v>
      </c>
      <c r="L228">
        <v>1211</v>
      </c>
      <c r="M228">
        <v>571</v>
      </c>
      <c r="N228">
        <v>997</v>
      </c>
      <c r="O228">
        <v>626</v>
      </c>
      <c r="P228">
        <v>249</v>
      </c>
      <c r="Q228">
        <v>295</v>
      </c>
      <c r="R228">
        <v>185</v>
      </c>
      <c r="S228">
        <v>198</v>
      </c>
      <c r="T228">
        <v>1125.8</v>
      </c>
      <c r="U228">
        <v>643.79999999999995</v>
      </c>
      <c r="V228">
        <v>866.1</v>
      </c>
      <c r="W228">
        <v>530.29999999999995</v>
      </c>
    </row>
    <row r="229" spans="4:23">
      <c r="D229" s="221">
        <v>0.29166666666666669</v>
      </c>
      <c r="E229" t="s">
        <v>156</v>
      </c>
      <c r="F229">
        <v>1733</v>
      </c>
      <c r="G229">
        <v>733</v>
      </c>
      <c r="H229">
        <v>1743</v>
      </c>
      <c r="I229">
        <v>1053</v>
      </c>
      <c r="J229">
        <v>1758</v>
      </c>
      <c r="K229">
        <v>856</v>
      </c>
      <c r="L229">
        <v>1789</v>
      </c>
      <c r="M229">
        <v>679</v>
      </c>
      <c r="N229">
        <v>1594</v>
      </c>
      <c r="O229">
        <v>799</v>
      </c>
      <c r="P229">
        <v>391</v>
      </c>
      <c r="Q229">
        <v>488</v>
      </c>
      <c r="R229">
        <v>258</v>
      </c>
      <c r="S229">
        <v>326</v>
      </c>
      <c r="T229">
        <v>1723.4</v>
      </c>
      <c r="U229">
        <v>824</v>
      </c>
      <c r="V229">
        <v>1323.7</v>
      </c>
      <c r="W229">
        <v>704.9</v>
      </c>
    </row>
    <row r="230" spans="4:23">
      <c r="D230" s="221">
        <v>0.33333333333333331</v>
      </c>
      <c r="E230" t="s">
        <v>156</v>
      </c>
      <c r="F230">
        <v>1380</v>
      </c>
      <c r="G230">
        <v>1073</v>
      </c>
      <c r="H230">
        <v>1405</v>
      </c>
      <c r="I230">
        <v>1131</v>
      </c>
      <c r="J230">
        <v>1380</v>
      </c>
      <c r="K230">
        <v>990</v>
      </c>
      <c r="L230">
        <v>1452</v>
      </c>
      <c r="M230">
        <v>895</v>
      </c>
      <c r="N230">
        <v>1376</v>
      </c>
      <c r="O230">
        <v>990</v>
      </c>
      <c r="P230">
        <v>657</v>
      </c>
      <c r="Q230">
        <v>820</v>
      </c>
      <c r="R230">
        <v>390</v>
      </c>
      <c r="S230">
        <v>544</v>
      </c>
      <c r="T230">
        <v>1398.6</v>
      </c>
      <c r="U230">
        <v>1015.8</v>
      </c>
      <c r="V230">
        <v>1148.5999999999999</v>
      </c>
      <c r="W230">
        <v>920.4</v>
      </c>
    </row>
    <row r="231" spans="4:23">
      <c r="D231" s="221">
        <v>0.375</v>
      </c>
      <c r="E231" t="s">
        <v>156</v>
      </c>
      <c r="F231">
        <v>990</v>
      </c>
      <c r="G231">
        <v>897</v>
      </c>
      <c r="H231">
        <v>988</v>
      </c>
      <c r="I231">
        <v>930</v>
      </c>
      <c r="J231">
        <v>970</v>
      </c>
      <c r="K231">
        <v>899</v>
      </c>
      <c r="L231">
        <v>1037</v>
      </c>
      <c r="M231">
        <v>864</v>
      </c>
      <c r="N231">
        <v>1013</v>
      </c>
      <c r="O231">
        <v>862</v>
      </c>
      <c r="P231">
        <v>834</v>
      </c>
      <c r="Q231">
        <v>911</v>
      </c>
      <c r="R231">
        <v>624</v>
      </c>
      <c r="S231">
        <v>734</v>
      </c>
      <c r="T231">
        <v>999.6</v>
      </c>
      <c r="U231">
        <v>890.4</v>
      </c>
      <c r="V231">
        <v>922.3</v>
      </c>
      <c r="W231">
        <v>871</v>
      </c>
    </row>
    <row r="232" spans="4:23">
      <c r="D232" s="221">
        <v>0.41666666666666669</v>
      </c>
      <c r="E232" t="s">
        <v>156</v>
      </c>
      <c r="F232">
        <v>828</v>
      </c>
      <c r="G232">
        <v>867</v>
      </c>
      <c r="H232">
        <v>907</v>
      </c>
      <c r="I232">
        <v>789</v>
      </c>
      <c r="J232">
        <v>870</v>
      </c>
      <c r="K232">
        <v>872</v>
      </c>
      <c r="L232">
        <v>840</v>
      </c>
      <c r="M232">
        <v>819</v>
      </c>
      <c r="N232">
        <v>897</v>
      </c>
      <c r="O232">
        <v>800</v>
      </c>
      <c r="P232">
        <v>1022</v>
      </c>
      <c r="Q232">
        <v>937</v>
      </c>
      <c r="R232">
        <v>826</v>
      </c>
      <c r="S232">
        <v>833</v>
      </c>
      <c r="T232">
        <v>868.4</v>
      </c>
      <c r="U232">
        <v>829.4</v>
      </c>
      <c r="V232" s="224">
        <v>884.3</v>
      </c>
      <c r="W232">
        <v>845.3</v>
      </c>
    </row>
    <row r="233" spans="4:23">
      <c r="D233" s="221">
        <v>0.45833333333333331</v>
      </c>
      <c r="E233" t="s">
        <v>156</v>
      </c>
      <c r="F233">
        <v>881</v>
      </c>
      <c r="G233">
        <v>777</v>
      </c>
      <c r="H233">
        <v>930</v>
      </c>
      <c r="I233">
        <v>826</v>
      </c>
      <c r="J233">
        <v>903</v>
      </c>
      <c r="K233">
        <v>840</v>
      </c>
      <c r="L233">
        <v>926</v>
      </c>
      <c r="M233">
        <v>810</v>
      </c>
      <c r="N233">
        <v>933</v>
      </c>
      <c r="O233">
        <v>858</v>
      </c>
      <c r="P233">
        <v>1103</v>
      </c>
      <c r="Q233">
        <v>974</v>
      </c>
      <c r="R233">
        <v>932</v>
      </c>
      <c r="S233">
        <v>869</v>
      </c>
      <c r="T233">
        <v>914.6</v>
      </c>
      <c r="U233">
        <v>822.2</v>
      </c>
      <c r="V233">
        <v>944</v>
      </c>
      <c r="W233" s="224">
        <v>850.6</v>
      </c>
    </row>
    <row r="234" spans="4:23">
      <c r="D234" s="221">
        <v>0.5</v>
      </c>
      <c r="E234" t="s">
        <v>155</v>
      </c>
      <c r="F234">
        <v>873</v>
      </c>
      <c r="G234">
        <v>842</v>
      </c>
      <c r="H234">
        <v>890</v>
      </c>
      <c r="I234">
        <v>833</v>
      </c>
      <c r="J234">
        <v>960</v>
      </c>
      <c r="K234">
        <v>851</v>
      </c>
      <c r="L234">
        <v>934</v>
      </c>
      <c r="M234">
        <v>860</v>
      </c>
      <c r="N234">
        <v>961</v>
      </c>
      <c r="O234">
        <v>872</v>
      </c>
      <c r="P234">
        <v>1070</v>
      </c>
      <c r="Q234">
        <v>955</v>
      </c>
      <c r="R234">
        <v>1112</v>
      </c>
      <c r="S234">
        <v>962</v>
      </c>
      <c r="T234">
        <v>923.6</v>
      </c>
      <c r="U234">
        <v>851.6</v>
      </c>
      <c r="V234">
        <v>971.4</v>
      </c>
      <c r="W234">
        <v>882.1</v>
      </c>
    </row>
    <row r="235" spans="4:23">
      <c r="D235" s="221">
        <v>4.1666666666666664E-2</v>
      </c>
      <c r="E235" t="s">
        <v>155</v>
      </c>
      <c r="F235">
        <v>974</v>
      </c>
      <c r="G235">
        <v>874</v>
      </c>
      <c r="H235">
        <v>918</v>
      </c>
      <c r="I235">
        <v>777</v>
      </c>
      <c r="J235">
        <v>1009</v>
      </c>
      <c r="K235">
        <v>886</v>
      </c>
      <c r="L235">
        <v>902</v>
      </c>
      <c r="M235">
        <v>811</v>
      </c>
      <c r="N235">
        <v>931</v>
      </c>
      <c r="O235">
        <v>888</v>
      </c>
      <c r="P235">
        <v>1134</v>
      </c>
      <c r="Q235">
        <v>954</v>
      </c>
      <c r="R235">
        <v>1073</v>
      </c>
      <c r="S235">
        <v>937</v>
      </c>
      <c r="T235">
        <v>946.8</v>
      </c>
      <c r="U235">
        <v>847.2</v>
      </c>
      <c r="V235">
        <v>991.6</v>
      </c>
      <c r="W235">
        <v>875.3</v>
      </c>
    </row>
    <row r="236" spans="4:23">
      <c r="D236" s="221">
        <v>8.3333333333333329E-2</v>
      </c>
      <c r="E236" t="s">
        <v>155</v>
      </c>
      <c r="F236">
        <v>976</v>
      </c>
      <c r="G236">
        <v>946</v>
      </c>
      <c r="H236">
        <v>870</v>
      </c>
      <c r="I236">
        <v>1012</v>
      </c>
      <c r="J236">
        <v>995</v>
      </c>
      <c r="K236">
        <v>929</v>
      </c>
      <c r="L236">
        <v>1031</v>
      </c>
      <c r="M236">
        <v>996</v>
      </c>
      <c r="N236">
        <v>956</v>
      </c>
      <c r="O236">
        <v>1071</v>
      </c>
      <c r="P236">
        <v>1130</v>
      </c>
      <c r="Q236">
        <v>1090</v>
      </c>
      <c r="R236">
        <v>916</v>
      </c>
      <c r="S236">
        <v>946</v>
      </c>
      <c r="T236">
        <v>965.6</v>
      </c>
      <c r="U236">
        <v>990.8</v>
      </c>
      <c r="V236">
        <v>982</v>
      </c>
      <c r="W236">
        <v>998.6</v>
      </c>
    </row>
    <row r="237" spans="4:23">
      <c r="D237" s="221">
        <v>0.125</v>
      </c>
      <c r="E237" t="s">
        <v>155</v>
      </c>
      <c r="F237">
        <v>1213</v>
      </c>
      <c r="G237">
        <v>988</v>
      </c>
      <c r="H237">
        <v>1239</v>
      </c>
      <c r="I237">
        <v>992</v>
      </c>
      <c r="J237">
        <v>1197</v>
      </c>
      <c r="K237">
        <v>1101</v>
      </c>
      <c r="L237">
        <v>1211</v>
      </c>
      <c r="M237">
        <v>946</v>
      </c>
      <c r="N237">
        <v>1169</v>
      </c>
      <c r="O237">
        <v>1043</v>
      </c>
      <c r="P237">
        <v>1034</v>
      </c>
      <c r="Q237">
        <v>1108</v>
      </c>
      <c r="R237">
        <v>901</v>
      </c>
      <c r="S237">
        <v>855</v>
      </c>
      <c r="T237">
        <v>1205.8</v>
      </c>
      <c r="U237">
        <v>1014</v>
      </c>
      <c r="V237">
        <v>1137.7</v>
      </c>
      <c r="W237">
        <v>1004.7</v>
      </c>
    </row>
    <row r="238" spans="4:23">
      <c r="D238" s="221">
        <v>0.16666666666666666</v>
      </c>
      <c r="E238" t="s">
        <v>155</v>
      </c>
      <c r="F238">
        <v>990</v>
      </c>
      <c r="G238">
        <v>1105</v>
      </c>
      <c r="H238">
        <v>1043</v>
      </c>
      <c r="I238">
        <v>1068</v>
      </c>
      <c r="J238">
        <v>1079</v>
      </c>
      <c r="K238">
        <v>1096</v>
      </c>
      <c r="L238">
        <v>1010</v>
      </c>
      <c r="M238">
        <v>1065</v>
      </c>
      <c r="N238">
        <v>1006</v>
      </c>
      <c r="O238">
        <v>1102</v>
      </c>
      <c r="P238">
        <v>1050</v>
      </c>
      <c r="Q238">
        <v>1090</v>
      </c>
      <c r="R238">
        <v>943</v>
      </c>
      <c r="S238">
        <v>875</v>
      </c>
      <c r="T238">
        <v>1025.5999999999999</v>
      </c>
      <c r="U238">
        <v>1087.2</v>
      </c>
      <c r="V238">
        <v>1017.3</v>
      </c>
      <c r="W238">
        <v>1057.3</v>
      </c>
    </row>
    <row r="239" spans="4:23">
      <c r="D239" s="221">
        <v>0.20833333333333334</v>
      </c>
      <c r="E239" t="s">
        <v>155</v>
      </c>
      <c r="F239">
        <v>1078</v>
      </c>
      <c r="G239">
        <v>1173</v>
      </c>
      <c r="H239">
        <v>1106</v>
      </c>
      <c r="I239">
        <v>1150</v>
      </c>
      <c r="J239">
        <v>1131</v>
      </c>
      <c r="K239">
        <v>1088</v>
      </c>
      <c r="L239">
        <v>1063</v>
      </c>
      <c r="M239">
        <v>1158</v>
      </c>
      <c r="N239">
        <v>994</v>
      </c>
      <c r="O239">
        <v>1170</v>
      </c>
      <c r="P239">
        <v>1081</v>
      </c>
      <c r="Q239">
        <v>1064</v>
      </c>
      <c r="R239">
        <v>997</v>
      </c>
      <c r="S239">
        <v>961</v>
      </c>
      <c r="T239">
        <v>1074.4000000000001</v>
      </c>
      <c r="U239">
        <v>1147.8</v>
      </c>
      <c r="V239">
        <v>1064.3</v>
      </c>
      <c r="W239">
        <v>1109.0999999999999</v>
      </c>
    </row>
    <row r="240" spans="4:23">
      <c r="D240" s="221">
        <v>0.25</v>
      </c>
      <c r="E240" t="s">
        <v>155</v>
      </c>
      <c r="F240">
        <v>1015</v>
      </c>
      <c r="G240">
        <v>1070</v>
      </c>
      <c r="H240">
        <v>1036</v>
      </c>
      <c r="I240">
        <v>1048</v>
      </c>
      <c r="J240">
        <v>1006</v>
      </c>
      <c r="K240">
        <v>1039</v>
      </c>
      <c r="L240">
        <v>1050</v>
      </c>
      <c r="M240">
        <v>1074</v>
      </c>
      <c r="N240">
        <v>977</v>
      </c>
      <c r="O240">
        <v>1060</v>
      </c>
      <c r="P240">
        <v>1053</v>
      </c>
      <c r="Q240">
        <v>1015</v>
      </c>
      <c r="R240">
        <v>888</v>
      </c>
      <c r="S240">
        <v>771</v>
      </c>
      <c r="T240">
        <v>1016.8</v>
      </c>
      <c r="U240">
        <v>1058.2</v>
      </c>
      <c r="V240">
        <v>1003.6</v>
      </c>
      <c r="W240">
        <v>1011</v>
      </c>
    </row>
    <row r="241" spans="4:23">
      <c r="D241" s="221">
        <v>0.29166666666666669</v>
      </c>
      <c r="E241" t="s">
        <v>155</v>
      </c>
      <c r="F241">
        <v>658</v>
      </c>
      <c r="G241">
        <v>760</v>
      </c>
      <c r="H241">
        <v>813</v>
      </c>
      <c r="I241">
        <v>872</v>
      </c>
      <c r="J241">
        <v>766</v>
      </c>
      <c r="K241">
        <v>786</v>
      </c>
      <c r="L241">
        <v>846</v>
      </c>
      <c r="M241">
        <v>820</v>
      </c>
      <c r="N241">
        <v>755</v>
      </c>
      <c r="O241">
        <v>880</v>
      </c>
      <c r="P241">
        <v>864</v>
      </c>
      <c r="Q241">
        <v>805</v>
      </c>
      <c r="R241">
        <v>687</v>
      </c>
      <c r="S241">
        <v>702</v>
      </c>
      <c r="T241">
        <v>767.6</v>
      </c>
      <c r="U241">
        <v>823.6</v>
      </c>
      <c r="V241" s="224">
        <v>769.9</v>
      </c>
      <c r="W241">
        <v>803.6</v>
      </c>
    </row>
    <row r="242" spans="4:23">
      <c r="D242" s="221">
        <v>0.33333333333333331</v>
      </c>
      <c r="E242" t="s">
        <v>155</v>
      </c>
      <c r="F242">
        <v>620</v>
      </c>
      <c r="G242">
        <v>613</v>
      </c>
      <c r="H242">
        <v>707</v>
      </c>
      <c r="I242">
        <v>655</v>
      </c>
      <c r="J242">
        <v>680</v>
      </c>
      <c r="K242">
        <v>636</v>
      </c>
      <c r="L242">
        <v>776</v>
      </c>
      <c r="M242">
        <v>680</v>
      </c>
      <c r="N242">
        <v>705</v>
      </c>
      <c r="O242">
        <v>613</v>
      </c>
      <c r="P242">
        <v>804</v>
      </c>
      <c r="Q242">
        <v>602</v>
      </c>
      <c r="R242">
        <v>559</v>
      </c>
      <c r="S242">
        <v>527</v>
      </c>
      <c r="T242">
        <v>697.6</v>
      </c>
      <c r="U242">
        <v>639.4</v>
      </c>
      <c r="V242">
        <v>693</v>
      </c>
      <c r="W242" s="224">
        <v>618</v>
      </c>
    </row>
    <row r="243" spans="4:23">
      <c r="D243" s="221">
        <v>0.375</v>
      </c>
      <c r="E243" t="s">
        <v>155</v>
      </c>
      <c r="F243">
        <v>440</v>
      </c>
      <c r="G243">
        <v>512</v>
      </c>
      <c r="H243">
        <v>546</v>
      </c>
      <c r="I243">
        <v>565</v>
      </c>
      <c r="J243">
        <v>476</v>
      </c>
      <c r="K243">
        <v>499</v>
      </c>
      <c r="L243">
        <v>522</v>
      </c>
      <c r="M243">
        <v>578</v>
      </c>
      <c r="N243">
        <v>636</v>
      </c>
      <c r="O243">
        <v>542</v>
      </c>
      <c r="P243">
        <v>648</v>
      </c>
      <c r="Q243">
        <v>599</v>
      </c>
      <c r="R243">
        <v>398</v>
      </c>
      <c r="S243">
        <v>420</v>
      </c>
      <c r="T243">
        <v>524</v>
      </c>
      <c r="U243">
        <v>539.20000000000005</v>
      </c>
      <c r="V243">
        <v>523.70000000000005</v>
      </c>
      <c r="W243">
        <v>530.70000000000005</v>
      </c>
    </row>
    <row r="244" spans="4:23">
      <c r="D244" s="221">
        <v>0.41666666666666669</v>
      </c>
      <c r="E244" t="s">
        <v>155</v>
      </c>
      <c r="F244">
        <v>330</v>
      </c>
      <c r="G244">
        <v>341</v>
      </c>
      <c r="H244">
        <v>376</v>
      </c>
      <c r="I244">
        <v>394</v>
      </c>
      <c r="J244">
        <v>381</v>
      </c>
      <c r="K244">
        <v>323</v>
      </c>
      <c r="L244">
        <v>394</v>
      </c>
      <c r="M244">
        <v>398</v>
      </c>
      <c r="N244">
        <v>428</v>
      </c>
      <c r="O244">
        <v>500</v>
      </c>
      <c r="P244">
        <v>525</v>
      </c>
      <c r="Q244">
        <v>530</v>
      </c>
      <c r="R244">
        <v>292</v>
      </c>
      <c r="S244">
        <v>302</v>
      </c>
      <c r="T244">
        <v>381.8</v>
      </c>
      <c r="U244">
        <v>391.2</v>
      </c>
      <c r="V244">
        <v>389.4</v>
      </c>
      <c r="W244">
        <v>398.3</v>
      </c>
    </row>
    <row r="245" spans="4:23">
      <c r="D245" s="221">
        <v>0.45833333333333331</v>
      </c>
      <c r="E245" t="s">
        <v>155</v>
      </c>
      <c r="F245">
        <v>214</v>
      </c>
      <c r="G245">
        <v>205</v>
      </c>
      <c r="H245">
        <v>180</v>
      </c>
      <c r="I245">
        <v>249</v>
      </c>
      <c r="J245">
        <v>184</v>
      </c>
      <c r="K245">
        <v>204</v>
      </c>
      <c r="L245">
        <v>246</v>
      </c>
      <c r="M245">
        <v>234</v>
      </c>
      <c r="N245">
        <v>294</v>
      </c>
      <c r="O245">
        <v>309</v>
      </c>
      <c r="P245">
        <v>300</v>
      </c>
      <c r="Q245">
        <v>377</v>
      </c>
      <c r="R245">
        <v>140</v>
      </c>
      <c r="S245">
        <v>202</v>
      </c>
      <c r="T245">
        <v>223.6</v>
      </c>
      <c r="U245">
        <v>240.2</v>
      </c>
      <c r="V245">
        <v>222.6</v>
      </c>
      <c r="W245">
        <v>254.3</v>
      </c>
    </row>
    <row r="246" spans="4:23">
      <c r="D246" s="221"/>
    </row>
    <row r="247" spans="4:23">
      <c r="D247" s="221"/>
    </row>
  </sheetData>
  <mergeCells count="77">
    <mergeCell ref="W15:W21"/>
    <mergeCell ref="W191:W196"/>
    <mergeCell ref="T189:V189"/>
    <mergeCell ref="Q191:Q202"/>
    <mergeCell ref="Q203:Q214"/>
    <mergeCell ref="T104:U104"/>
    <mergeCell ref="V104:W104"/>
    <mergeCell ref="P105:Q105"/>
    <mergeCell ref="R105:S105"/>
    <mergeCell ref="R75:S75"/>
    <mergeCell ref="P104:Q104"/>
    <mergeCell ref="R104:S104"/>
    <mergeCell ref="P75:Q75"/>
    <mergeCell ref="V44:W44"/>
    <mergeCell ref="P74:Q74"/>
    <mergeCell ref="R74:S74"/>
    <mergeCell ref="F220:G220"/>
    <mergeCell ref="T220:U220"/>
    <mergeCell ref="V220:W220"/>
    <mergeCell ref="T190:V190"/>
    <mergeCell ref="T198:T200"/>
    <mergeCell ref="F189:G189"/>
    <mergeCell ref="H189:I189"/>
    <mergeCell ref="J189:K189"/>
    <mergeCell ref="L189:M189"/>
    <mergeCell ref="N189:O189"/>
    <mergeCell ref="F105:G105"/>
    <mergeCell ref="H105:I105"/>
    <mergeCell ref="J105:K105"/>
    <mergeCell ref="L105:M105"/>
    <mergeCell ref="N105:O105"/>
    <mergeCell ref="F104:G104"/>
    <mergeCell ref="H104:I104"/>
    <mergeCell ref="J104:K104"/>
    <mergeCell ref="L104:M104"/>
    <mergeCell ref="N104:O104"/>
    <mergeCell ref="N74:O74"/>
    <mergeCell ref="F75:G75"/>
    <mergeCell ref="H75:I75"/>
    <mergeCell ref="J75:K75"/>
    <mergeCell ref="L75:M75"/>
    <mergeCell ref="N75:O75"/>
    <mergeCell ref="T74:U74"/>
    <mergeCell ref="V74:W74"/>
    <mergeCell ref="T43:U43"/>
    <mergeCell ref="V43:W43"/>
    <mergeCell ref="F44:G44"/>
    <mergeCell ref="H44:I44"/>
    <mergeCell ref="J44:K44"/>
    <mergeCell ref="L44:M44"/>
    <mergeCell ref="N44:O44"/>
    <mergeCell ref="P44:Q44"/>
    <mergeCell ref="R44:S44"/>
    <mergeCell ref="T44:U44"/>
    <mergeCell ref="F74:G74"/>
    <mergeCell ref="H74:I74"/>
    <mergeCell ref="J74:K74"/>
    <mergeCell ref="L74:M74"/>
    <mergeCell ref="T15:V15"/>
    <mergeCell ref="Q16:Q27"/>
    <mergeCell ref="Q28:Q39"/>
    <mergeCell ref="F43:G43"/>
    <mergeCell ref="H43:I43"/>
    <mergeCell ref="J43:K43"/>
    <mergeCell ref="L43:M43"/>
    <mergeCell ref="N43:O43"/>
    <mergeCell ref="P43:Q43"/>
    <mergeCell ref="R43:S43"/>
    <mergeCell ref="T4:V4"/>
    <mergeCell ref="F11:G11"/>
    <mergeCell ref="F12:O12"/>
    <mergeCell ref="F13:G13"/>
    <mergeCell ref="H13:I13"/>
    <mergeCell ref="J13:K13"/>
    <mergeCell ref="L13:M13"/>
    <mergeCell ref="N13:O13"/>
    <mergeCell ref="T13:V13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6C81D-D53B-4D77-9450-C244C8A26D55}">
  <dimension ref="B1:V251"/>
  <sheetViews>
    <sheetView topLeftCell="B1" zoomScale="80" zoomScaleNormal="80" workbookViewId="0">
      <selection activeCell="R15" sqref="R15:T15"/>
    </sheetView>
  </sheetViews>
  <sheetFormatPr defaultRowHeight="14.4"/>
  <cols>
    <col min="1" max="1" width="0" hidden="1" customWidth="1"/>
    <col min="4" max="4" width="11.5546875" customWidth="1"/>
    <col min="5" max="9" width="8.88671875" customWidth="1"/>
    <col min="10" max="10" width="10.5546875" customWidth="1"/>
    <col min="11" max="13" width="8.88671875" customWidth="1"/>
  </cols>
  <sheetData>
    <row r="1" spans="2:22">
      <c r="B1" s="7" t="s">
        <v>395</v>
      </c>
    </row>
    <row r="2" spans="2:22" ht="18">
      <c r="B2" s="198" t="s">
        <v>225</v>
      </c>
    </row>
    <row r="4" spans="2:22" ht="57.6">
      <c r="Q4" s="175" t="s">
        <v>233</v>
      </c>
      <c r="R4" s="428" t="s">
        <v>260</v>
      </c>
      <c r="S4" s="428"/>
      <c r="T4" s="428"/>
    </row>
    <row r="5" spans="2:22" ht="15" customHeight="1">
      <c r="B5" s="8" t="s">
        <v>338</v>
      </c>
      <c r="D5" s="202"/>
      <c r="E5" s="202"/>
      <c r="F5" s="203"/>
      <c r="G5" s="203"/>
      <c r="H5" s="203"/>
      <c r="I5" s="203"/>
      <c r="J5" s="203"/>
      <c r="K5" s="203"/>
      <c r="L5" s="203"/>
      <c r="M5" s="203"/>
      <c r="N5" s="203"/>
      <c r="O5" s="204"/>
      <c r="P5" s="205"/>
      <c r="Q5" s="205">
        <f>SUM(Q16:Q39)</f>
        <v>10.500718845043062</v>
      </c>
      <c r="R5" s="206" t="s">
        <v>235</v>
      </c>
      <c r="S5" s="207"/>
      <c r="T5" s="207"/>
      <c r="U5" s="201"/>
    </row>
    <row r="6" spans="2:22" ht="15" customHeight="1">
      <c r="B6" s="208" t="s">
        <v>261</v>
      </c>
      <c r="C6" s="209"/>
      <c r="D6" s="210"/>
      <c r="E6" s="210"/>
      <c r="F6" s="211"/>
      <c r="G6" s="211"/>
      <c r="H6" s="211"/>
      <c r="I6" s="211"/>
      <c r="J6" s="211"/>
      <c r="K6" s="211"/>
      <c r="L6" s="211"/>
      <c r="M6" s="211"/>
      <c r="N6" s="211"/>
      <c r="O6" s="212"/>
      <c r="P6" s="213"/>
      <c r="Q6" s="213">
        <f>SUM(Q16:Q27)</f>
        <v>4.4674233904976095</v>
      </c>
      <c r="R6" s="214" t="s">
        <v>235</v>
      </c>
      <c r="S6" s="215"/>
      <c r="T6" s="215"/>
      <c r="U6" s="216"/>
      <c r="V6" s="209"/>
    </row>
    <row r="7" spans="2:22" ht="15" customHeight="1">
      <c r="B7" s="208" t="s">
        <v>262</v>
      </c>
      <c r="C7" s="209"/>
      <c r="D7" s="210"/>
      <c r="E7" s="210"/>
      <c r="F7" s="211"/>
      <c r="G7" s="211"/>
      <c r="H7" s="211"/>
      <c r="I7" s="211"/>
      <c r="J7" s="211"/>
      <c r="K7" s="211"/>
      <c r="L7" s="211"/>
      <c r="M7" s="211"/>
      <c r="N7" s="211"/>
      <c r="O7" s="212"/>
      <c r="P7" s="213"/>
      <c r="Q7" s="213">
        <f>SUM(Q28:Q39)</f>
        <v>6.0332954545454553</v>
      </c>
      <c r="R7" s="214" t="s">
        <v>235</v>
      </c>
      <c r="S7" s="215"/>
      <c r="T7" s="215"/>
      <c r="U7" s="216"/>
      <c r="V7" s="209"/>
    </row>
    <row r="8" spans="2:22" ht="15" customHeight="1">
      <c r="B8" s="217" t="s">
        <v>236</v>
      </c>
      <c r="P8" s="205"/>
      <c r="Q8" s="205">
        <v>9.261902889023812</v>
      </c>
      <c r="R8" s="206" t="s">
        <v>235</v>
      </c>
      <c r="S8" s="207"/>
      <c r="T8" s="207"/>
      <c r="U8" s="201"/>
    </row>
    <row r="9" spans="2:22" ht="15" customHeight="1">
      <c r="B9" s="208" t="s">
        <v>261</v>
      </c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13"/>
      <c r="Q9" s="213">
        <f>SUM(Q195:Q206)</f>
        <v>3.2655147414209762</v>
      </c>
      <c r="R9" s="214" t="s">
        <v>235</v>
      </c>
      <c r="S9" s="215"/>
      <c r="T9" s="215"/>
      <c r="U9" s="216"/>
      <c r="V9" s="209"/>
    </row>
    <row r="10" spans="2:22" ht="15" customHeight="1">
      <c r="B10" s="208" t="s">
        <v>262</v>
      </c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13"/>
      <c r="Q10" s="213">
        <f>SUM(Q207:Q218)</f>
        <v>5.9963881476028353</v>
      </c>
      <c r="R10" s="214" t="s">
        <v>235</v>
      </c>
      <c r="S10" s="215"/>
      <c r="T10" s="215"/>
      <c r="U10" s="216"/>
      <c r="V10" s="209"/>
    </row>
    <row r="11" spans="2:22">
      <c r="D11" s="429"/>
      <c r="E11" s="429"/>
    </row>
    <row r="12" spans="2:22">
      <c r="D12" s="430" t="s">
        <v>226</v>
      </c>
      <c r="E12" s="430"/>
      <c r="F12" s="430"/>
      <c r="G12" s="430"/>
      <c r="H12" s="430"/>
      <c r="I12" s="430"/>
      <c r="J12" s="430"/>
      <c r="K12" s="430"/>
      <c r="L12" s="430"/>
      <c r="M12" s="430"/>
    </row>
    <row r="13" spans="2:22" ht="60.6" customHeight="1">
      <c r="D13" s="431" t="s">
        <v>227</v>
      </c>
      <c r="E13" s="432"/>
      <c r="F13" s="433" t="s">
        <v>228</v>
      </c>
      <c r="G13" s="434"/>
      <c r="H13" s="433" t="s">
        <v>229</v>
      </c>
      <c r="I13" s="434"/>
      <c r="J13" s="433" t="s">
        <v>229</v>
      </c>
      <c r="K13" s="434"/>
      <c r="L13" s="433" t="s">
        <v>230</v>
      </c>
      <c r="M13" s="434"/>
      <c r="N13" s="175" t="s">
        <v>231</v>
      </c>
      <c r="O13" s="200"/>
      <c r="P13" s="259" t="s">
        <v>232</v>
      </c>
      <c r="Q13" s="260" t="s">
        <v>233</v>
      </c>
      <c r="R13" s="428" t="s">
        <v>260</v>
      </c>
      <c r="S13" s="428"/>
      <c r="T13" s="428"/>
      <c r="U13" s="201"/>
    </row>
    <row r="14" spans="2:22">
      <c r="B14" s="218" t="s">
        <v>237</v>
      </c>
      <c r="D14" s="243"/>
      <c r="E14" s="244"/>
      <c r="F14" s="243"/>
      <c r="G14" s="244"/>
      <c r="H14" s="243"/>
      <c r="I14" s="244"/>
      <c r="J14" s="243"/>
      <c r="K14" s="244"/>
      <c r="L14" s="243"/>
      <c r="M14" s="244"/>
      <c r="N14" s="252"/>
      <c r="P14" s="229"/>
      <c r="Q14" s="13"/>
    </row>
    <row r="15" spans="2:22">
      <c r="B15" s="231"/>
      <c r="C15" s="240"/>
      <c r="D15" s="245" t="s">
        <v>238</v>
      </c>
      <c r="E15" s="246" t="s">
        <v>239</v>
      </c>
      <c r="F15" s="245" t="s">
        <v>238</v>
      </c>
      <c r="G15" s="246" t="s">
        <v>239</v>
      </c>
      <c r="H15" s="245" t="s">
        <v>238</v>
      </c>
      <c r="I15" s="246" t="s">
        <v>239</v>
      </c>
      <c r="J15" s="251"/>
      <c r="K15" s="232"/>
      <c r="L15" s="251"/>
      <c r="M15" s="232"/>
      <c r="N15" s="253"/>
      <c r="O15" s="258"/>
      <c r="P15" s="251"/>
      <c r="Q15" s="232"/>
      <c r="R15" s="419" t="s">
        <v>291</v>
      </c>
      <c r="S15" s="420"/>
      <c r="T15" s="421"/>
    </row>
    <row r="16" spans="2:22">
      <c r="B16" s="233">
        <v>0.5</v>
      </c>
      <c r="C16" s="230" t="s">
        <v>156</v>
      </c>
      <c r="D16" s="247">
        <v>11.7</v>
      </c>
      <c r="E16" s="237">
        <v>140.69999999999999</v>
      </c>
      <c r="F16" s="247">
        <v>17.399999999999999</v>
      </c>
      <c r="G16" s="237">
        <v>241.9</v>
      </c>
      <c r="H16" s="247">
        <v>132.4</v>
      </c>
      <c r="I16" s="237">
        <v>223.6</v>
      </c>
      <c r="J16" s="247">
        <v>170.3</v>
      </c>
      <c r="K16" s="237"/>
      <c r="L16" s="247">
        <v>177</v>
      </c>
      <c r="M16" s="237"/>
      <c r="N16" s="254">
        <f>AVERAGE(L16,D16:J16)</f>
        <v>139.375</v>
      </c>
      <c r="O16" s="435" t="s">
        <v>156</v>
      </c>
      <c r="P16" s="261">
        <f>N16/$N$24</f>
        <v>0.19591650267078997</v>
      </c>
      <c r="Q16" s="234">
        <v>0</v>
      </c>
      <c r="R16" s="251"/>
      <c r="S16" s="319">
        <f>N16/$R$25</f>
        <v>0.19746162927981109</v>
      </c>
      <c r="T16" s="320">
        <v>0</v>
      </c>
    </row>
    <row r="17" spans="2:22">
      <c r="B17" s="233">
        <v>4.1666666666666664E-2</v>
      </c>
      <c r="C17" s="230" t="s">
        <v>156</v>
      </c>
      <c r="D17" s="247">
        <v>10.4</v>
      </c>
      <c r="E17" s="237">
        <v>96.7</v>
      </c>
      <c r="F17" s="247">
        <v>10.9</v>
      </c>
      <c r="G17" s="237">
        <v>149.69999999999999</v>
      </c>
      <c r="H17" s="247">
        <v>88.7</v>
      </c>
      <c r="I17" s="237">
        <v>145</v>
      </c>
      <c r="J17" s="247">
        <v>105.7</v>
      </c>
      <c r="K17" s="237"/>
      <c r="L17" s="247">
        <v>93.7</v>
      </c>
      <c r="M17" s="237"/>
      <c r="N17" s="254">
        <f t="shared" ref="N17:N39" si="0">AVERAGE(L17,D17:J17)</f>
        <v>87.6</v>
      </c>
      <c r="O17" s="435"/>
      <c r="P17" s="261">
        <f t="shared" ref="P17:P27" si="1">N17/$N$24</f>
        <v>0.12313747540061848</v>
      </c>
      <c r="Q17" s="234">
        <v>0</v>
      </c>
      <c r="R17" s="247"/>
      <c r="S17" s="321">
        <f t="shared" ref="S17:S23" si="2">N17/$R$25</f>
        <v>0.12410861865407319</v>
      </c>
      <c r="T17" s="322">
        <v>0</v>
      </c>
    </row>
    <row r="18" spans="2:22">
      <c r="B18" s="233">
        <v>8.3333333333333329E-2</v>
      </c>
      <c r="C18" s="230" t="s">
        <v>156</v>
      </c>
      <c r="D18" s="247">
        <v>6</v>
      </c>
      <c r="E18" s="237">
        <v>77.400000000000006</v>
      </c>
      <c r="F18" s="247">
        <v>10.1</v>
      </c>
      <c r="G18" s="237">
        <v>117.6</v>
      </c>
      <c r="H18" s="247">
        <v>71.099999999999994</v>
      </c>
      <c r="I18" s="237">
        <v>110</v>
      </c>
      <c r="J18" s="247">
        <v>90.1</v>
      </c>
      <c r="K18" s="237"/>
      <c r="L18" s="247">
        <v>92</v>
      </c>
      <c r="M18" s="237"/>
      <c r="N18" s="254">
        <f t="shared" si="0"/>
        <v>71.787500000000009</v>
      </c>
      <c r="O18" s="435"/>
      <c r="P18" s="261">
        <f t="shared" si="1"/>
        <v>0.10091017711554681</v>
      </c>
      <c r="Q18" s="234">
        <v>0</v>
      </c>
      <c r="R18" s="247"/>
      <c r="S18" s="321">
        <f t="shared" si="2"/>
        <v>0.10170602125147581</v>
      </c>
      <c r="T18" s="322">
        <v>0</v>
      </c>
    </row>
    <row r="19" spans="2:22">
      <c r="B19" s="233">
        <v>0.125</v>
      </c>
      <c r="C19" s="230" t="s">
        <v>156</v>
      </c>
      <c r="D19" s="247">
        <v>12.3</v>
      </c>
      <c r="E19" s="237">
        <v>56.1</v>
      </c>
      <c r="F19" s="247">
        <v>7</v>
      </c>
      <c r="G19" s="237">
        <v>72.7</v>
      </c>
      <c r="H19" s="247">
        <v>62.9</v>
      </c>
      <c r="I19" s="237">
        <v>74.900000000000006</v>
      </c>
      <c r="J19" s="247">
        <v>71.3</v>
      </c>
      <c r="K19" s="237"/>
      <c r="L19" s="247">
        <v>72.599999999999994</v>
      </c>
      <c r="M19" s="237"/>
      <c r="N19" s="254">
        <f t="shared" si="0"/>
        <v>53.725000000000001</v>
      </c>
      <c r="O19" s="435"/>
      <c r="P19" s="261">
        <f t="shared" si="1"/>
        <v>7.5520101208883889E-2</v>
      </c>
      <c r="Q19" s="234">
        <v>0</v>
      </c>
      <c r="R19" s="247"/>
      <c r="S19" s="321">
        <f t="shared" si="2"/>
        <v>7.611570247933884E-2</v>
      </c>
      <c r="T19" s="322">
        <v>0</v>
      </c>
    </row>
    <row r="20" spans="2:22">
      <c r="B20" s="233">
        <v>0.16666666666666666</v>
      </c>
      <c r="C20" s="230" t="s">
        <v>156</v>
      </c>
      <c r="D20" s="247">
        <v>33.9</v>
      </c>
      <c r="E20" s="237">
        <v>101</v>
      </c>
      <c r="F20" s="247">
        <v>9.9</v>
      </c>
      <c r="G20" s="237">
        <v>72</v>
      </c>
      <c r="H20" s="247">
        <v>131.9</v>
      </c>
      <c r="I20" s="237">
        <v>96.6</v>
      </c>
      <c r="J20" s="247">
        <v>107.6</v>
      </c>
      <c r="K20" s="237"/>
      <c r="L20" s="247">
        <v>150</v>
      </c>
      <c r="M20" s="237"/>
      <c r="N20" s="254">
        <f t="shared" si="0"/>
        <v>87.862499999999997</v>
      </c>
      <c r="O20" s="435"/>
      <c r="P20" s="261">
        <f t="shared" si="1"/>
        <v>0.12350646612313745</v>
      </c>
      <c r="Q20" s="234">
        <v>0</v>
      </c>
      <c r="R20" s="247"/>
      <c r="S20" s="321">
        <f t="shared" si="2"/>
        <v>0.12448051948051947</v>
      </c>
      <c r="T20" s="322">
        <v>0</v>
      </c>
    </row>
    <row r="21" spans="2:22">
      <c r="B21" s="233">
        <v>0.20833333333333334</v>
      </c>
      <c r="C21" s="230" t="s">
        <v>156</v>
      </c>
      <c r="D21" s="247">
        <v>98</v>
      </c>
      <c r="E21" s="237">
        <v>210</v>
      </c>
      <c r="F21" s="247">
        <v>39.6</v>
      </c>
      <c r="G21" s="237">
        <v>156.1</v>
      </c>
      <c r="H21" s="247">
        <v>383.3</v>
      </c>
      <c r="I21" s="237">
        <v>242.9</v>
      </c>
      <c r="J21" s="247">
        <v>278.39999999999998</v>
      </c>
      <c r="K21" s="237"/>
      <c r="L21" s="247">
        <v>454</v>
      </c>
      <c r="M21" s="237"/>
      <c r="N21" s="254">
        <f t="shared" si="0"/>
        <v>232.78750000000002</v>
      </c>
      <c r="O21" s="435"/>
      <c r="P21" s="261">
        <f t="shared" si="1"/>
        <v>0.32722448692718581</v>
      </c>
      <c r="Q21" s="234">
        <v>0</v>
      </c>
      <c r="R21" s="247"/>
      <c r="S21" s="321">
        <f t="shared" si="2"/>
        <v>0.32980519480519482</v>
      </c>
      <c r="T21" s="322">
        <v>0</v>
      </c>
    </row>
    <row r="22" spans="2:22">
      <c r="B22" s="233">
        <v>0.25</v>
      </c>
      <c r="C22" s="230" t="s">
        <v>156</v>
      </c>
      <c r="D22" s="247">
        <v>312.89999999999998</v>
      </c>
      <c r="E22" s="237">
        <v>379.9</v>
      </c>
      <c r="F22" s="247">
        <v>116.6</v>
      </c>
      <c r="G22" s="237">
        <v>355.4</v>
      </c>
      <c r="H22" s="247">
        <v>802.1</v>
      </c>
      <c r="I22" s="237">
        <v>528.29999999999995</v>
      </c>
      <c r="J22" s="247">
        <v>460.7</v>
      </c>
      <c r="K22" s="237"/>
      <c r="L22" s="247">
        <v>943.9</v>
      </c>
      <c r="M22" s="237"/>
      <c r="N22" s="254">
        <f t="shared" si="0"/>
        <v>487.47499999999991</v>
      </c>
      <c r="O22" s="435"/>
      <c r="P22" s="261">
        <f t="shared" si="1"/>
        <v>0.68523334270452607</v>
      </c>
      <c r="Q22" s="234">
        <v>0</v>
      </c>
      <c r="R22" s="247"/>
      <c r="S22" s="321">
        <f t="shared" si="2"/>
        <v>0.69063754427390778</v>
      </c>
      <c r="T22" s="322">
        <v>0</v>
      </c>
    </row>
    <row r="23" spans="2:22">
      <c r="B23" s="233">
        <v>0.29166666666666669</v>
      </c>
      <c r="C23" s="230" t="s">
        <v>156</v>
      </c>
      <c r="D23" s="248">
        <v>442.1</v>
      </c>
      <c r="E23" s="249">
        <v>552.9</v>
      </c>
      <c r="F23" s="248">
        <v>224.7</v>
      </c>
      <c r="G23" s="249">
        <v>566.9</v>
      </c>
      <c r="H23" s="248">
        <v>861.9</v>
      </c>
      <c r="I23" s="237">
        <v>726.6</v>
      </c>
      <c r="J23" s="247">
        <v>620.1</v>
      </c>
      <c r="K23" s="237"/>
      <c r="L23" s="247">
        <v>1099.5999999999999</v>
      </c>
      <c r="M23" s="237"/>
      <c r="N23" s="254">
        <f t="shared" si="0"/>
        <v>636.85</v>
      </c>
      <c r="O23" s="435"/>
      <c r="P23" s="261">
        <f t="shared" si="1"/>
        <v>0.89520663480461049</v>
      </c>
      <c r="Q23" s="234">
        <f>P23/2</f>
        <v>0.44760331740230525</v>
      </c>
      <c r="R23" s="247"/>
      <c r="S23" s="321">
        <f t="shared" si="2"/>
        <v>0.90226682408500591</v>
      </c>
      <c r="T23" s="322">
        <v>1</v>
      </c>
    </row>
    <row r="24" spans="2:22">
      <c r="B24" s="235">
        <v>0.33333333333333331</v>
      </c>
      <c r="C24" s="241" t="s">
        <v>156</v>
      </c>
      <c r="D24" s="248">
        <v>374.3</v>
      </c>
      <c r="E24" s="249">
        <v>641.29999999999995</v>
      </c>
      <c r="F24" s="248">
        <v>248.1</v>
      </c>
      <c r="G24" s="249">
        <v>685</v>
      </c>
      <c r="H24" s="248">
        <v>936.1</v>
      </c>
      <c r="I24" s="237">
        <v>801.6</v>
      </c>
      <c r="J24" s="247">
        <v>756.1</v>
      </c>
      <c r="K24" s="237"/>
      <c r="L24" s="247">
        <v>1248.7</v>
      </c>
      <c r="M24" s="237"/>
      <c r="N24" s="255">
        <f t="shared" si="0"/>
        <v>711.40000000000009</v>
      </c>
      <c r="O24" s="435"/>
      <c r="P24" s="261">
        <f t="shared" si="1"/>
        <v>1</v>
      </c>
      <c r="Q24" s="236">
        <f>P24</f>
        <v>1</v>
      </c>
      <c r="R24" s="326"/>
      <c r="S24" s="323"/>
      <c r="T24" s="237"/>
    </row>
    <row r="25" spans="2:22">
      <c r="B25" s="233">
        <v>0.375</v>
      </c>
      <c r="C25" s="230" t="s">
        <v>156</v>
      </c>
      <c r="D25" s="248">
        <v>220.3</v>
      </c>
      <c r="E25" s="249">
        <v>672.7</v>
      </c>
      <c r="F25" s="248">
        <v>212.1</v>
      </c>
      <c r="G25" s="249">
        <v>652.4</v>
      </c>
      <c r="H25" s="248">
        <v>996.9</v>
      </c>
      <c r="I25" s="237">
        <v>896</v>
      </c>
      <c r="J25" s="247">
        <v>824</v>
      </c>
      <c r="K25" s="237"/>
      <c r="L25" s="247">
        <v>1101</v>
      </c>
      <c r="M25" s="237"/>
      <c r="N25" s="254">
        <f t="shared" si="0"/>
        <v>696.92499999999995</v>
      </c>
      <c r="O25" s="435"/>
      <c r="P25" s="261">
        <f t="shared" si="1"/>
        <v>0.97965279730109622</v>
      </c>
      <c r="Q25" s="236">
        <f>P25</f>
        <v>0.97965279730109622</v>
      </c>
      <c r="R25" s="327">
        <f>AVERAGE(N24:N26)</f>
        <v>705.83333333333337</v>
      </c>
      <c r="S25" s="323"/>
      <c r="T25" s="237"/>
      <c r="U25" s="330">
        <f>SUM(T16:T27)/9</f>
        <v>0.22222222222222221</v>
      </c>
      <c r="V25" t="s">
        <v>292</v>
      </c>
    </row>
    <row r="26" spans="2:22">
      <c r="B26" s="233">
        <v>0.41666666666666669</v>
      </c>
      <c r="C26" s="230" t="s">
        <v>156</v>
      </c>
      <c r="D26" s="248">
        <v>166.7</v>
      </c>
      <c r="E26" s="249">
        <v>769.9</v>
      </c>
      <c r="F26" s="248">
        <v>200.9</v>
      </c>
      <c r="G26" s="249">
        <v>738.4</v>
      </c>
      <c r="H26" s="248">
        <v>949.9</v>
      </c>
      <c r="I26" s="237">
        <v>866.9</v>
      </c>
      <c r="J26" s="247">
        <v>887.7</v>
      </c>
      <c r="K26" s="237"/>
      <c r="L26" s="247">
        <v>1093</v>
      </c>
      <c r="M26" s="237"/>
      <c r="N26" s="254">
        <f t="shared" si="0"/>
        <v>709.17499999999995</v>
      </c>
      <c r="O26" s="435"/>
      <c r="P26" s="261">
        <f t="shared" si="1"/>
        <v>0.99687236435198179</v>
      </c>
      <c r="Q26" s="236">
        <f>P26</f>
        <v>0.99687236435198179</v>
      </c>
      <c r="R26" s="328"/>
      <c r="S26" s="323"/>
      <c r="T26" s="237"/>
    </row>
    <row r="27" spans="2:22">
      <c r="B27" s="233">
        <v>0.45833333333333331</v>
      </c>
      <c r="C27" s="230" t="s">
        <v>156</v>
      </c>
      <c r="D27" s="248">
        <v>146.69999999999999</v>
      </c>
      <c r="E27" s="249">
        <v>849.4</v>
      </c>
      <c r="F27" s="248">
        <v>192.1</v>
      </c>
      <c r="G27" s="249">
        <v>922.1</v>
      </c>
      <c r="H27" s="248">
        <v>914</v>
      </c>
      <c r="I27" s="237">
        <v>953.9</v>
      </c>
      <c r="J27" s="247">
        <v>963</v>
      </c>
      <c r="K27" s="237"/>
      <c r="L27" s="247">
        <v>996.4</v>
      </c>
      <c r="M27" s="237"/>
      <c r="N27" s="254">
        <f t="shared" si="0"/>
        <v>742.19999999999993</v>
      </c>
      <c r="O27" s="435"/>
      <c r="P27" s="261">
        <f t="shared" si="1"/>
        <v>1.0432949114422263</v>
      </c>
      <c r="Q27" s="236">
        <f>P27</f>
        <v>1.0432949114422263</v>
      </c>
      <c r="R27" s="329"/>
      <c r="S27" s="321">
        <f>N27/$R$25</f>
        <v>1.0515230224321133</v>
      </c>
      <c r="T27" s="322">
        <v>1</v>
      </c>
    </row>
    <row r="28" spans="2:22">
      <c r="B28" s="233">
        <v>0.5</v>
      </c>
      <c r="C28" s="230" t="s">
        <v>155</v>
      </c>
      <c r="D28" s="248">
        <v>160</v>
      </c>
      <c r="E28" s="249">
        <v>950.9</v>
      </c>
      <c r="F28" s="248">
        <v>208.9</v>
      </c>
      <c r="G28" s="249">
        <v>1001.7</v>
      </c>
      <c r="H28" s="248">
        <v>920.7</v>
      </c>
      <c r="I28" s="237">
        <v>1046.5999999999999</v>
      </c>
      <c r="J28" s="247">
        <v>1061.0999999999999</v>
      </c>
      <c r="K28" s="237"/>
      <c r="L28" s="247">
        <v>1040.0999999999999</v>
      </c>
      <c r="M28" s="237"/>
      <c r="N28" s="256">
        <f t="shared" si="0"/>
        <v>798.75</v>
      </c>
      <c r="O28" s="436" t="s">
        <v>155</v>
      </c>
      <c r="P28" s="261">
        <f>N28/$N$33</f>
        <v>0.85427807486631013</v>
      </c>
      <c r="Q28" s="236">
        <f>P28/2</f>
        <v>0.42713903743315507</v>
      </c>
      <c r="R28" s="329"/>
      <c r="S28" s="321">
        <f>N28/$R$33</f>
        <v>0.87826198504618092</v>
      </c>
      <c r="T28" s="322">
        <v>0.5</v>
      </c>
    </row>
    <row r="29" spans="2:22">
      <c r="B29" s="233">
        <v>4.1666666666666664E-2</v>
      </c>
      <c r="C29" s="230" t="s">
        <v>155</v>
      </c>
      <c r="D29" s="248">
        <v>145.6</v>
      </c>
      <c r="E29" s="249">
        <v>988.3</v>
      </c>
      <c r="F29" s="248">
        <v>198.7</v>
      </c>
      <c r="G29" s="249">
        <v>1000.3</v>
      </c>
      <c r="H29" s="248">
        <v>910.3</v>
      </c>
      <c r="I29" s="237">
        <v>1008.1</v>
      </c>
      <c r="J29" s="247">
        <v>1098.7</v>
      </c>
      <c r="K29" s="237"/>
      <c r="L29" s="247">
        <v>982.9</v>
      </c>
      <c r="M29" s="237"/>
      <c r="N29" s="256">
        <f t="shared" si="0"/>
        <v>791.61250000000007</v>
      </c>
      <c r="O29" s="436"/>
      <c r="P29" s="261">
        <f t="shared" ref="P29:P39" si="3">N29/$N$33</f>
        <v>0.846644385026738</v>
      </c>
      <c r="Q29" s="236">
        <f>P29/2</f>
        <v>0.423322192513369</v>
      </c>
      <c r="R29" s="329"/>
      <c r="S29" s="321">
        <f t="shared" ref="S29:S31" si="4">N29/$R$33</f>
        <v>0.87041397888872607</v>
      </c>
      <c r="T29" s="322">
        <v>0.5</v>
      </c>
    </row>
    <row r="30" spans="2:22">
      <c r="B30" s="233">
        <v>8.3333333333333329E-2</v>
      </c>
      <c r="C30" s="230" t="s">
        <v>155</v>
      </c>
      <c r="D30" s="248">
        <v>158.4</v>
      </c>
      <c r="E30" s="249">
        <v>1050</v>
      </c>
      <c r="F30" s="248">
        <v>212</v>
      </c>
      <c r="G30" s="249">
        <v>1209.3</v>
      </c>
      <c r="H30" s="248">
        <v>933.1</v>
      </c>
      <c r="I30" s="237">
        <v>1161.9000000000001</v>
      </c>
      <c r="J30" s="247">
        <v>1173</v>
      </c>
      <c r="K30" s="237"/>
      <c r="L30" s="247">
        <v>1039.5999999999999</v>
      </c>
      <c r="M30" s="237"/>
      <c r="N30" s="254">
        <f t="shared" si="0"/>
        <v>867.16250000000014</v>
      </c>
      <c r="O30" s="436"/>
      <c r="P30" s="261">
        <f t="shared" si="3"/>
        <v>0.92744652406417127</v>
      </c>
      <c r="Q30" s="236">
        <f t="shared" ref="Q30:Q34" si="5">P30</f>
        <v>0.92744652406417127</v>
      </c>
      <c r="R30" s="329"/>
      <c r="S30" s="321">
        <f t="shared" si="4"/>
        <v>0.95348464301422087</v>
      </c>
      <c r="T30" s="322">
        <v>1</v>
      </c>
    </row>
    <row r="31" spans="2:22">
      <c r="B31" s="233">
        <v>0.125</v>
      </c>
      <c r="C31" s="230" t="s">
        <v>155</v>
      </c>
      <c r="D31" s="248">
        <v>154.1</v>
      </c>
      <c r="E31" s="249">
        <v>1051.7</v>
      </c>
      <c r="F31" s="248">
        <v>227.1</v>
      </c>
      <c r="G31" s="249">
        <v>1241.7</v>
      </c>
      <c r="H31" s="248">
        <v>916.4</v>
      </c>
      <c r="I31" s="237">
        <v>1233.3</v>
      </c>
      <c r="J31" s="247">
        <v>1314.3</v>
      </c>
      <c r="K31" s="237"/>
      <c r="L31" s="247">
        <v>1014.3</v>
      </c>
      <c r="M31" s="237"/>
      <c r="N31" s="254">
        <f t="shared" si="0"/>
        <v>894.11249999999995</v>
      </c>
      <c r="O31" s="436"/>
      <c r="P31" s="261">
        <f t="shared" si="3"/>
        <v>0.95627005347593574</v>
      </c>
      <c r="Q31" s="236">
        <f t="shared" si="5"/>
        <v>0.95627005347593574</v>
      </c>
      <c r="R31" s="329"/>
      <c r="S31" s="321">
        <f t="shared" si="4"/>
        <v>0.98311739481014504</v>
      </c>
      <c r="T31" s="322">
        <v>1</v>
      </c>
    </row>
    <row r="32" spans="2:22">
      <c r="B32" s="233">
        <v>0.16666666666666666</v>
      </c>
      <c r="C32" s="230" t="s">
        <v>155</v>
      </c>
      <c r="D32" s="248">
        <v>150.1</v>
      </c>
      <c r="E32" s="249">
        <v>1084.4000000000001</v>
      </c>
      <c r="F32" s="248">
        <v>240.4</v>
      </c>
      <c r="G32" s="249">
        <v>1259.3</v>
      </c>
      <c r="H32" s="248">
        <v>941.6</v>
      </c>
      <c r="I32" s="237">
        <v>1234.5999999999999</v>
      </c>
      <c r="J32" s="247">
        <v>1344</v>
      </c>
      <c r="K32" s="237"/>
      <c r="L32" s="247">
        <v>1044.9000000000001</v>
      </c>
      <c r="M32" s="237"/>
      <c r="N32" s="254">
        <f t="shared" si="0"/>
        <v>912.41250000000014</v>
      </c>
      <c r="O32" s="436"/>
      <c r="P32" s="261">
        <f t="shared" si="3"/>
        <v>0.97584224598930491</v>
      </c>
      <c r="Q32" s="236">
        <f t="shared" si="5"/>
        <v>0.97584224598930491</v>
      </c>
      <c r="R32" s="326"/>
      <c r="S32" s="323"/>
      <c r="T32" s="237"/>
    </row>
    <row r="33" spans="2:22">
      <c r="B33" s="235">
        <v>0.20833333333333334</v>
      </c>
      <c r="C33" s="241" t="s">
        <v>155</v>
      </c>
      <c r="D33" s="248">
        <v>149.9</v>
      </c>
      <c r="E33" s="249">
        <v>1086.7</v>
      </c>
      <c r="F33" s="248">
        <v>255.9</v>
      </c>
      <c r="G33" s="249">
        <v>1272.7</v>
      </c>
      <c r="H33" s="248">
        <v>965.9</v>
      </c>
      <c r="I33" s="237">
        <v>1282.3</v>
      </c>
      <c r="J33" s="247">
        <v>1397.7</v>
      </c>
      <c r="K33" s="237"/>
      <c r="L33" s="247">
        <v>1068.9000000000001</v>
      </c>
      <c r="M33" s="237"/>
      <c r="N33" s="255">
        <f t="shared" si="0"/>
        <v>935</v>
      </c>
      <c r="O33" s="436"/>
      <c r="P33" s="261">
        <f t="shared" si="3"/>
        <v>1</v>
      </c>
      <c r="Q33" s="236">
        <f t="shared" si="5"/>
        <v>1</v>
      </c>
      <c r="R33" s="327">
        <f>AVERAGE(N32:N34)</f>
        <v>909.4666666666667</v>
      </c>
      <c r="S33" s="323"/>
      <c r="T33" s="237"/>
      <c r="U33" s="330">
        <f>SUM(T28:T39)/9</f>
        <v>0.3888888888888889</v>
      </c>
      <c r="V33" t="s">
        <v>293</v>
      </c>
    </row>
    <row r="34" spans="2:22">
      <c r="B34" s="233">
        <v>0.25</v>
      </c>
      <c r="C34" s="230" t="s">
        <v>155</v>
      </c>
      <c r="D34" s="248">
        <v>144.69999999999999</v>
      </c>
      <c r="E34" s="249">
        <v>994</v>
      </c>
      <c r="F34" s="248">
        <v>189.1</v>
      </c>
      <c r="G34" s="249">
        <v>1330.7</v>
      </c>
      <c r="H34" s="248">
        <v>934.7</v>
      </c>
      <c r="I34" s="237">
        <v>1175.4000000000001</v>
      </c>
      <c r="J34" s="247">
        <v>1242</v>
      </c>
      <c r="K34" s="237"/>
      <c r="L34" s="247">
        <v>1037.3</v>
      </c>
      <c r="M34" s="237"/>
      <c r="N34" s="254">
        <f t="shared" si="0"/>
        <v>880.98749999999995</v>
      </c>
      <c r="O34" s="436"/>
      <c r="P34" s="261">
        <f t="shared" si="3"/>
        <v>0.94223262032085553</v>
      </c>
      <c r="Q34" s="236">
        <f t="shared" si="5"/>
        <v>0.94223262032085553</v>
      </c>
      <c r="R34" s="328"/>
      <c r="S34" s="323"/>
      <c r="T34" s="237"/>
    </row>
    <row r="35" spans="2:22">
      <c r="B35" s="233">
        <v>0.29166666666666669</v>
      </c>
      <c r="C35" s="230" t="s">
        <v>155</v>
      </c>
      <c r="D35" s="247">
        <v>97</v>
      </c>
      <c r="E35" s="237">
        <v>790.6</v>
      </c>
      <c r="F35" s="247">
        <v>144</v>
      </c>
      <c r="G35" s="237">
        <v>1148</v>
      </c>
      <c r="H35" s="247">
        <v>755.9</v>
      </c>
      <c r="I35" s="237">
        <v>1011.3</v>
      </c>
      <c r="J35" s="247">
        <v>926</v>
      </c>
      <c r="K35" s="237"/>
      <c r="L35" s="247">
        <v>827.6</v>
      </c>
      <c r="M35" s="237"/>
      <c r="N35" s="254">
        <f t="shared" si="0"/>
        <v>712.55</v>
      </c>
      <c r="O35" s="436"/>
      <c r="P35" s="261">
        <f t="shared" si="3"/>
        <v>0.7620855614973262</v>
      </c>
      <c r="Q35" s="236">
        <f>P35/2</f>
        <v>0.3810427807486631</v>
      </c>
      <c r="R35" s="247"/>
      <c r="S35" s="321">
        <f t="shared" ref="S35:S39" si="6">N35/$R$33</f>
        <v>0.78348116112007027</v>
      </c>
      <c r="T35" s="322">
        <v>0.5</v>
      </c>
    </row>
    <row r="36" spans="2:22">
      <c r="B36" s="233">
        <v>0.33333333333333331</v>
      </c>
      <c r="C36" s="230" t="s">
        <v>155</v>
      </c>
      <c r="D36" s="247">
        <v>77.7</v>
      </c>
      <c r="E36" s="237">
        <v>649.70000000000005</v>
      </c>
      <c r="F36" s="247">
        <v>98.4</v>
      </c>
      <c r="G36" s="237">
        <v>867.7</v>
      </c>
      <c r="H36" s="247">
        <v>588.6</v>
      </c>
      <c r="I36" s="237">
        <v>803.1</v>
      </c>
      <c r="J36" s="247">
        <v>761.4</v>
      </c>
      <c r="K36" s="237"/>
      <c r="L36" s="247">
        <v>667.6</v>
      </c>
      <c r="M36" s="237"/>
      <c r="N36" s="254">
        <f t="shared" si="0"/>
        <v>564.27499999999998</v>
      </c>
      <c r="O36" s="436"/>
      <c r="P36" s="261">
        <f t="shared" si="3"/>
        <v>0.60350267379679146</v>
      </c>
      <c r="Q36" s="237">
        <v>0</v>
      </c>
      <c r="R36" s="247"/>
      <c r="S36" s="321">
        <f t="shared" si="6"/>
        <v>0.62044604896642719</v>
      </c>
      <c r="T36" s="322">
        <v>0</v>
      </c>
    </row>
    <row r="37" spans="2:22">
      <c r="B37" s="233">
        <v>0.375</v>
      </c>
      <c r="C37" s="230" t="s">
        <v>155</v>
      </c>
      <c r="D37" s="247">
        <v>68.3</v>
      </c>
      <c r="E37" s="237">
        <v>549.70000000000005</v>
      </c>
      <c r="F37" s="247">
        <v>78.7</v>
      </c>
      <c r="G37" s="237">
        <v>795.7</v>
      </c>
      <c r="H37" s="247">
        <v>491.9</v>
      </c>
      <c r="I37" s="237">
        <v>740.3</v>
      </c>
      <c r="J37" s="247">
        <v>647.1</v>
      </c>
      <c r="K37" s="237"/>
      <c r="L37" s="247">
        <v>598.1</v>
      </c>
      <c r="M37" s="237"/>
      <c r="N37" s="254">
        <f t="shared" si="0"/>
        <v>496.22499999999997</v>
      </c>
      <c r="O37" s="436"/>
      <c r="P37" s="261">
        <f t="shared" si="3"/>
        <v>0.53072192513368976</v>
      </c>
      <c r="Q37" s="237">
        <v>0</v>
      </c>
      <c r="R37" s="247"/>
      <c r="S37" s="321">
        <f t="shared" si="6"/>
        <v>0.54562197624981668</v>
      </c>
      <c r="T37" s="322">
        <v>0</v>
      </c>
    </row>
    <row r="38" spans="2:22">
      <c r="B38" s="233">
        <v>0.41666666666666669</v>
      </c>
      <c r="C38" s="230" t="s">
        <v>155</v>
      </c>
      <c r="D38" s="247">
        <v>48</v>
      </c>
      <c r="E38" s="237">
        <v>384.7</v>
      </c>
      <c r="F38" s="247">
        <v>54.7</v>
      </c>
      <c r="G38" s="237">
        <v>590</v>
      </c>
      <c r="H38" s="247">
        <v>351.3</v>
      </c>
      <c r="I38" s="237">
        <v>541.6</v>
      </c>
      <c r="J38" s="247">
        <v>454.9</v>
      </c>
      <c r="K38" s="237"/>
      <c r="L38" s="247">
        <v>428.7</v>
      </c>
      <c r="M38" s="237"/>
      <c r="N38" s="254">
        <f t="shared" si="0"/>
        <v>356.73750000000001</v>
      </c>
      <c r="O38" s="436"/>
      <c r="P38" s="261">
        <f t="shared" si="3"/>
        <v>0.38153743315508021</v>
      </c>
      <c r="Q38" s="237">
        <v>0</v>
      </c>
      <c r="R38" s="247"/>
      <c r="S38" s="321">
        <f t="shared" si="6"/>
        <v>0.39224912036358306</v>
      </c>
      <c r="T38" s="322">
        <v>0</v>
      </c>
    </row>
    <row r="39" spans="2:22">
      <c r="B39" s="238">
        <v>0.45833333333333331</v>
      </c>
      <c r="C39" s="242" t="s">
        <v>155</v>
      </c>
      <c r="D39" s="250">
        <v>37.6</v>
      </c>
      <c r="E39" s="239">
        <v>239.9</v>
      </c>
      <c r="F39" s="250">
        <v>36</v>
      </c>
      <c r="G39" s="239">
        <v>421.3</v>
      </c>
      <c r="H39" s="250">
        <v>211.9</v>
      </c>
      <c r="I39" s="239">
        <v>366.7</v>
      </c>
      <c r="J39" s="250">
        <v>273.7</v>
      </c>
      <c r="K39" s="239"/>
      <c r="L39" s="250">
        <v>284.3</v>
      </c>
      <c r="M39" s="239"/>
      <c r="N39" s="257">
        <f t="shared" si="0"/>
        <v>233.92500000000004</v>
      </c>
      <c r="O39" s="437"/>
      <c r="P39" s="262">
        <f t="shared" si="3"/>
        <v>0.25018716577540112</v>
      </c>
      <c r="Q39" s="239">
        <v>0</v>
      </c>
      <c r="R39" s="250"/>
      <c r="S39" s="324">
        <f t="shared" si="6"/>
        <v>0.25721118604310222</v>
      </c>
      <c r="T39" s="325">
        <v>0</v>
      </c>
    </row>
    <row r="40" spans="2:22">
      <c r="B40" s="219"/>
    </row>
    <row r="41" spans="2:22">
      <c r="B41" s="219"/>
    </row>
    <row r="42" spans="2:22">
      <c r="B42" s="219"/>
    </row>
    <row r="43" spans="2:22">
      <c r="B43" s="219" t="s">
        <v>240</v>
      </c>
    </row>
    <row r="44" spans="2:22">
      <c r="B44" t="s">
        <v>227</v>
      </c>
    </row>
    <row r="45" spans="2:22">
      <c r="D45" s="429" t="s">
        <v>241</v>
      </c>
      <c r="E45" s="429"/>
      <c r="F45" s="429" t="s">
        <v>242</v>
      </c>
      <c r="G45" s="429"/>
      <c r="H45" s="429" t="s">
        <v>243</v>
      </c>
      <c r="I45" s="429"/>
      <c r="J45" s="429" t="s">
        <v>244</v>
      </c>
      <c r="K45" s="429"/>
      <c r="L45" s="429" t="s">
        <v>245</v>
      </c>
      <c r="M45" s="429"/>
      <c r="N45" s="429" t="s">
        <v>246</v>
      </c>
      <c r="O45" s="429"/>
      <c r="P45" s="429" t="s">
        <v>247</v>
      </c>
      <c r="Q45" s="429"/>
      <c r="R45" s="429" t="s">
        <v>248</v>
      </c>
      <c r="S45" s="429"/>
      <c r="T45" s="429" t="s">
        <v>226</v>
      </c>
      <c r="U45" s="429"/>
    </row>
    <row r="46" spans="2:22">
      <c r="D46" s="438">
        <v>43020</v>
      </c>
      <c r="E46" s="438"/>
      <c r="F46" s="438"/>
      <c r="G46" s="438"/>
      <c r="H46" s="438"/>
      <c r="I46" s="438"/>
      <c r="J46" s="438"/>
      <c r="K46" s="438"/>
      <c r="L46" s="438"/>
      <c r="M46" s="438"/>
      <c r="N46" s="438"/>
      <c r="O46" s="438"/>
      <c r="P46" s="438"/>
      <c r="Q46" s="438"/>
      <c r="R46" s="438"/>
      <c r="S46" s="438"/>
      <c r="T46" s="438"/>
      <c r="U46" s="438"/>
    </row>
    <row r="47" spans="2:22">
      <c r="D47" s="220" t="s">
        <v>238</v>
      </c>
      <c r="E47" s="220" t="s">
        <v>239</v>
      </c>
      <c r="F47" s="220" t="s">
        <v>238</v>
      </c>
      <c r="G47" s="220" t="s">
        <v>239</v>
      </c>
      <c r="H47" s="220" t="s">
        <v>238</v>
      </c>
      <c r="I47" s="220" t="s">
        <v>239</v>
      </c>
      <c r="J47" s="220" t="s">
        <v>238</v>
      </c>
      <c r="K47" s="220" t="s">
        <v>239</v>
      </c>
      <c r="L47" s="220" t="s">
        <v>238</v>
      </c>
      <c r="M47" s="220" t="s">
        <v>239</v>
      </c>
      <c r="N47" s="220" t="s">
        <v>238</v>
      </c>
      <c r="O47" s="220" t="s">
        <v>239</v>
      </c>
      <c r="P47" s="220" t="s">
        <v>238</v>
      </c>
      <c r="Q47" s="220" t="s">
        <v>239</v>
      </c>
      <c r="R47" s="220" t="s">
        <v>238</v>
      </c>
      <c r="S47" s="220" t="s">
        <v>239</v>
      </c>
      <c r="T47" s="220" t="s">
        <v>238</v>
      </c>
      <c r="U47" s="220" t="s">
        <v>239</v>
      </c>
    </row>
    <row r="48" spans="2:22">
      <c r="B48" s="221">
        <v>0.5</v>
      </c>
      <c r="C48" t="s">
        <v>156</v>
      </c>
      <c r="D48">
        <v>4</v>
      </c>
      <c r="E48">
        <v>101</v>
      </c>
      <c r="F48">
        <v>12</v>
      </c>
      <c r="G48">
        <v>142</v>
      </c>
      <c r="H48">
        <v>12</v>
      </c>
      <c r="I48">
        <v>208</v>
      </c>
      <c r="J48">
        <v>22</v>
      </c>
      <c r="K48">
        <v>233</v>
      </c>
      <c r="L48">
        <v>15</v>
      </c>
      <c r="M48">
        <v>100</v>
      </c>
      <c r="N48">
        <v>9</v>
      </c>
      <c r="O48">
        <v>94</v>
      </c>
      <c r="P48">
        <v>8</v>
      </c>
      <c r="Q48">
        <v>107</v>
      </c>
      <c r="R48">
        <v>9.6</v>
      </c>
      <c r="S48">
        <v>108.8</v>
      </c>
      <c r="T48">
        <v>11.7</v>
      </c>
      <c r="U48">
        <v>140.69999999999999</v>
      </c>
    </row>
    <row r="49" spans="2:21">
      <c r="B49" s="221">
        <v>4.1666666666666664E-2</v>
      </c>
      <c r="C49" t="s">
        <v>156</v>
      </c>
      <c r="D49">
        <v>12</v>
      </c>
      <c r="E49">
        <v>81</v>
      </c>
      <c r="F49">
        <v>10</v>
      </c>
      <c r="G49">
        <v>80</v>
      </c>
      <c r="H49">
        <v>9</v>
      </c>
      <c r="I49">
        <v>130</v>
      </c>
      <c r="J49">
        <v>17</v>
      </c>
      <c r="K49">
        <v>164</v>
      </c>
      <c r="L49">
        <v>8</v>
      </c>
      <c r="M49">
        <v>86</v>
      </c>
      <c r="N49">
        <v>11</v>
      </c>
      <c r="O49">
        <v>68</v>
      </c>
      <c r="P49">
        <v>6</v>
      </c>
      <c r="Q49">
        <v>68</v>
      </c>
      <c r="R49">
        <v>9.4</v>
      </c>
      <c r="S49">
        <v>76.599999999999994</v>
      </c>
      <c r="T49">
        <v>10.4</v>
      </c>
      <c r="U49">
        <v>96.7</v>
      </c>
    </row>
    <row r="50" spans="2:21">
      <c r="B50" s="221">
        <v>8.3333333333333329E-2</v>
      </c>
      <c r="C50" t="s">
        <v>156</v>
      </c>
      <c r="D50">
        <v>2</v>
      </c>
      <c r="E50">
        <v>58</v>
      </c>
      <c r="F50">
        <v>4</v>
      </c>
      <c r="G50">
        <v>65</v>
      </c>
      <c r="H50">
        <v>9</v>
      </c>
      <c r="I50">
        <v>126</v>
      </c>
      <c r="J50">
        <v>6</v>
      </c>
      <c r="K50">
        <v>137</v>
      </c>
      <c r="L50">
        <v>3</v>
      </c>
      <c r="M50">
        <v>44</v>
      </c>
      <c r="N50">
        <v>10</v>
      </c>
      <c r="O50">
        <v>52</v>
      </c>
      <c r="P50">
        <v>8</v>
      </c>
      <c r="Q50">
        <v>60</v>
      </c>
      <c r="R50">
        <v>5.4</v>
      </c>
      <c r="S50">
        <v>55.8</v>
      </c>
      <c r="T50">
        <v>6</v>
      </c>
      <c r="U50">
        <v>77.400000000000006</v>
      </c>
    </row>
    <row r="51" spans="2:21">
      <c r="B51" s="221">
        <v>0.125</v>
      </c>
      <c r="C51" t="s">
        <v>156</v>
      </c>
      <c r="D51">
        <v>9</v>
      </c>
      <c r="E51">
        <v>42</v>
      </c>
      <c r="F51">
        <v>11</v>
      </c>
      <c r="G51">
        <v>48</v>
      </c>
      <c r="H51">
        <v>7</v>
      </c>
      <c r="I51">
        <v>82</v>
      </c>
      <c r="J51">
        <v>20</v>
      </c>
      <c r="K51">
        <v>67</v>
      </c>
      <c r="L51">
        <v>10</v>
      </c>
      <c r="M51">
        <v>44</v>
      </c>
      <c r="N51">
        <v>18</v>
      </c>
      <c r="O51">
        <v>56</v>
      </c>
      <c r="P51">
        <v>11</v>
      </c>
      <c r="Q51">
        <v>54</v>
      </c>
      <c r="R51">
        <v>11.8</v>
      </c>
      <c r="S51">
        <v>48.8</v>
      </c>
      <c r="T51">
        <v>12.3</v>
      </c>
      <c r="U51">
        <v>56.1</v>
      </c>
    </row>
    <row r="52" spans="2:21">
      <c r="B52" s="221">
        <v>0.16666666666666666</v>
      </c>
      <c r="C52" t="s">
        <v>156</v>
      </c>
      <c r="D52">
        <v>47</v>
      </c>
      <c r="E52">
        <v>124</v>
      </c>
      <c r="F52">
        <v>42</v>
      </c>
      <c r="G52">
        <v>120</v>
      </c>
      <c r="H52">
        <v>6</v>
      </c>
      <c r="I52">
        <v>60</v>
      </c>
      <c r="J52">
        <v>13</v>
      </c>
      <c r="K52">
        <v>54</v>
      </c>
      <c r="L52">
        <v>41</v>
      </c>
      <c r="M52">
        <v>111</v>
      </c>
      <c r="N52">
        <v>42</v>
      </c>
      <c r="O52">
        <v>120</v>
      </c>
      <c r="P52">
        <v>46</v>
      </c>
      <c r="Q52">
        <v>118</v>
      </c>
      <c r="R52">
        <v>43.6</v>
      </c>
      <c r="S52">
        <v>118.6</v>
      </c>
      <c r="T52">
        <v>33.9</v>
      </c>
      <c r="U52">
        <v>101</v>
      </c>
    </row>
    <row r="53" spans="2:21">
      <c r="B53" s="221">
        <v>0.20833333333333334</v>
      </c>
      <c r="C53" t="s">
        <v>156</v>
      </c>
      <c r="D53">
        <v>125</v>
      </c>
      <c r="E53">
        <v>263</v>
      </c>
      <c r="F53">
        <v>108</v>
      </c>
      <c r="G53">
        <v>220</v>
      </c>
      <c r="H53">
        <v>22</v>
      </c>
      <c r="I53">
        <v>93</v>
      </c>
      <c r="J53">
        <v>18</v>
      </c>
      <c r="K53">
        <v>84</v>
      </c>
      <c r="L53">
        <v>136</v>
      </c>
      <c r="M53">
        <v>266</v>
      </c>
      <c r="N53">
        <v>139</v>
      </c>
      <c r="O53">
        <v>278</v>
      </c>
      <c r="P53">
        <v>138</v>
      </c>
      <c r="Q53">
        <v>266</v>
      </c>
      <c r="R53">
        <v>129.19999999999999</v>
      </c>
      <c r="S53">
        <v>258.60000000000002</v>
      </c>
      <c r="T53">
        <v>98</v>
      </c>
      <c r="U53">
        <v>210</v>
      </c>
    </row>
    <row r="54" spans="2:21">
      <c r="B54" s="221">
        <v>0.25</v>
      </c>
      <c r="C54" t="s">
        <v>156</v>
      </c>
      <c r="D54">
        <v>424</v>
      </c>
      <c r="E54">
        <v>462</v>
      </c>
      <c r="F54">
        <v>342</v>
      </c>
      <c r="G54">
        <v>460</v>
      </c>
      <c r="H54">
        <v>56</v>
      </c>
      <c r="I54">
        <v>204</v>
      </c>
      <c r="J54">
        <v>44</v>
      </c>
      <c r="K54">
        <v>175</v>
      </c>
      <c r="L54">
        <v>418</v>
      </c>
      <c r="M54">
        <v>474</v>
      </c>
      <c r="N54">
        <v>456</v>
      </c>
      <c r="O54">
        <v>445</v>
      </c>
      <c r="P54">
        <v>450</v>
      </c>
      <c r="Q54">
        <v>439</v>
      </c>
      <c r="R54">
        <v>418</v>
      </c>
      <c r="S54">
        <v>456</v>
      </c>
      <c r="T54">
        <v>312.89999999999998</v>
      </c>
      <c r="U54">
        <v>379.9</v>
      </c>
    </row>
    <row r="55" spans="2:21">
      <c r="B55" s="221">
        <v>0.29166666666666669</v>
      </c>
      <c r="C55" t="s">
        <v>156</v>
      </c>
      <c r="D55">
        <v>640</v>
      </c>
      <c r="E55">
        <v>672</v>
      </c>
      <c r="F55">
        <v>525</v>
      </c>
      <c r="G55">
        <v>619</v>
      </c>
      <c r="H55">
        <v>105</v>
      </c>
      <c r="I55">
        <v>352</v>
      </c>
      <c r="J55">
        <v>64</v>
      </c>
      <c r="K55">
        <v>242</v>
      </c>
      <c r="L55">
        <v>613</v>
      </c>
      <c r="M55">
        <v>663</v>
      </c>
      <c r="N55">
        <v>516</v>
      </c>
      <c r="O55">
        <v>642</v>
      </c>
      <c r="P55">
        <v>632</v>
      </c>
      <c r="Q55">
        <v>680</v>
      </c>
      <c r="R55">
        <v>585.20000000000005</v>
      </c>
      <c r="S55">
        <v>655.20000000000005</v>
      </c>
      <c r="T55" s="224">
        <v>442.1</v>
      </c>
      <c r="U55">
        <v>552.9</v>
      </c>
    </row>
    <row r="56" spans="2:21">
      <c r="B56" s="221">
        <v>0.33333333333333331</v>
      </c>
      <c r="C56" t="s">
        <v>156</v>
      </c>
      <c r="D56">
        <v>480</v>
      </c>
      <c r="E56">
        <v>693</v>
      </c>
      <c r="F56">
        <v>340</v>
      </c>
      <c r="G56">
        <v>666</v>
      </c>
      <c r="H56">
        <v>145</v>
      </c>
      <c r="I56">
        <v>626</v>
      </c>
      <c r="J56">
        <v>97</v>
      </c>
      <c r="K56">
        <v>434</v>
      </c>
      <c r="L56">
        <v>454</v>
      </c>
      <c r="M56">
        <v>694</v>
      </c>
      <c r="N56">
        <v>557</v>
      </c>
      <c r="O56">
        <v>694</v>
      </c>
      <c r="P56">
        <v>547</v>
      </c>
      <c r="Q56">
        <v>682</v>
      </c>
      <c r="R56">
        <v>475.6</v>
      </c>
      <c r="S56">
        <v>685.8</v>
      </c>
      <c r="T56">
        <v>374.3</v>
      </c>
      <c r="U56" s="224">
        <v>641.29999999999995</v>
      </c>
    </row>
    <row r="57" spans="2:21">
      <c r="B57" s="221">
        <v>0.375</v>
      </c>
      <c r="C57" t="s">
        <v>156</v>
      </c>
      <c r="D57">
        <v>254</v>
      </c>
      <c r="E57">
        <v>610</v>
      </c>
      <c r="F57">
        <v>219</v>
      </c>
      <c r="G57">
        <v>708</v>
      </c>
      <c r="H57">
        <v>173</v>
      </c>
      <c r="I57">
        <v>817</v>
      </c>
      <c r="J57">
        <v>168</v>
      </c>
      <c r="K57">
        <v>708</v>
      </c>
      <c r="L57">
        <v>222</v>
      </c>
      <c r="M57">
        <v>632</v>
      </c>
      <c r="N57">
        <v>265</v>
      </c>
      <c r="O57">
        <v>632</v>
      </c>
      <c r="P57">
        <v>241</v>
      </c>
      <c r="Q57">
        <v>602</v>
      </c>
      <c r="R57">
        <v>240.2</v>
      </c>
      <c r="S57">
        <v>636.79999999999995</v>
      </c>
      <c r="T57">
        <v>220.3</v>
      </c>
      <c r="U57">
        <v>672.7</v>
      </c>
    </row>
    <row r="58" spans="2:21">
      <c r="B58" s="221">
        <v>0.41666666666666669</v>
      </c>
      <c r="C58" t="s">
        <v>156</v>
      </c>
      <c r="D58">
        <v>155</v>
      </c>
      <c r="E58">
        <v>676</v>
      </c>
      <c r="F58">
        <v>170</v>
      </c>
      <c r="G58">
        <v>794</v>
      </c>
      <c r="H58">
        <v>196</v>
      </c>
      <c r="I58">
        <v>1019</v>
      </c>
      <c r="J58">
        <v>162</v>
      </c>
      <c r="K58">
        <v>827</v>
      </c>
      <c r="L58">
        <v>150</v>
      </c>
      <c r="M58">
        <v>672</v>
      </c>
      <c r="N58">
        <v>172</v>
      </c>
      <c r="O58">
        <v>680</v>
      </c>
      <c r="P58">
        <v>162</v>
      </c>
      <c r="Q58">
        <v>721</v>
      </c>
      <c r="R58">
        <v>161.80000000000001</v>
      </c>
      <c r="S58">
        <v>708.6</v>
      </c>
      <c r="T58">
        <v>166.7</v>
      </c>
      <c r="U58">
        <v>769.9</v>
      </c>
    </row>
    <row r="59" spans="2:21">
      <c r="B59" s="221">
        <v>0.45833333333333331</v>
      </c>
      <c r="C59" t="s">
        <v>156</v>
      </c>
      <c r="D59">
        <v>150</v>
      </c>
      <c r="E59">
        <v>807</v>
      </c>
      <c r="F59">
        <v>162</v>
      </c>
      <c r="G59">
        <v>904</v>
      </c>
      <c r="H59">
        <v>178</v>
      </c>
      <c r="I59">
        <v>1042</v>
      </c>
      <c r="J59">
        <v>155</v>
      </c>
      <c r="K59">
        <v>945</v>
      </c>
      <c r="L59">
        <v>122</v>
      </c>
      <c r="M59">
        <v>754</v>
      </c>
      <c r="N59">
        <v>128</v>
      </c>
      <c r="O59">
        <v>752</v>
      </c>
      <c r="P59">
        <v>132</v>
      </c>
      <c r="Q59">
        <v>742</v>
      </c>
      <c r="R59">
        <v>138.80000000000001</v>
      </c>
      <c r="S59">
        <v>791.8</v>
      </c>
      <c r="T59">
        <v>146.69999999999999</v>
      </c>
      <c r="U59">
        <v>849.4</v>
      </c>
    </row>
    <row r="60" spans="2:21">
      <c r="B60" s="221">
        <v>0.5</v>
      </c>
      <c r="C60" t="s">
        <v>155</v>
      </c>
      <c r="D60">
        <v>146</v>
      </c>
      <c r="E60">
        <v>866</v>
      </c>
      <c r="F60">
        <v>177</v>
      </c>
      <c r="G60">
        <v>974</v>
      </c>
      <c r="H60">
        <v>170</v>
      </c>
      <c r="I60">
        <v>1194</v>
      </c>
      <c r="J60">
        <v>194</v>
      </c>
      <c r="K60">
        <v>1112</v>
      </c>
      <c r="L60">
        <v>131</v>
      </c>
      <c r="M60">
        <v>876</v>
      </c>
      <c r="N60">
        <v>148</v>
      </c>
      <c r="O60">
        <v>796</v>
      </c>
      <c r="P60">
        <v>154</v>
      </c>
      <c r="Q60">
        <v>838</v>
      </c>
      <c r="R60">
        <v>151.19999999999999</v>
      </c>
      <c r="S60">
        <v>870</v>
      </c>
      <c r="T60">
        <v>160</v>
      </c>
      <c r="U60">
        <v>950.9</v>
      </c>
    </row>
    <row r="61" spans="2:21">
      <c r="B61" s="221">
        <v>4.1666666666666664E-2</v>
      </c>
      <c r="C61" t="s">
        <v>155</v>
      </c>
      <c r="D61">
        <v>136</v>
      </c>
      <c r="E61">
        <v>890</v>
      </c>
      <c r="F61">
        <v>154</v>
      </c>
      <c r="G61">
        <v>1065</v>
      </c>
      <c r="H61">
        <v>183</v>
      </c>
      <c r="I61">
        <v>1172</v>
      </c>
      <c r="J61">
        <v>162</v>
      </c>
      <c r="K61">
        <v>1118</v>
      </c>
      <c r="L61">
        <v>120</v>
      </c>
      <c r="M61">
        <v>896</v>
      </c>
      <c r="N61">
        <v>134</v>
      </c>
      <c r="O61">
        <v>876</v>
      </c>
      <c r="P61">
        <v>130</v>
      </c>
      <c r="Q61">
        <v>901</v>
      </c>
      <c r="R61">
        <v>134.80000000000001</v>
      </c>
      <c r="S61">
        <v>925.6</v>
      </c>
      <c r="T61">
        <v>145.6</v>
      </c>
      <c r="U61">
        <v>988.3</v>
      </c>
    </row>
    <row r="62" spans="2:21">
      <c r="B62" s="221">
        <v>8.3333333333333329E-2</v>
      </c>
      <c r="C62" t="s">
        <v>155</v>
      </c>
      <c r="D62">
        <v>138</v>
      </c>
      <c r="E62">
        <v>974</v>
      </c>
      <c r="F62">
        <v>149</v>
      </c>
      <c r="G62">
        <v>1054</v>
      </c>
      <c r="H62">
        <v>198</v>
      </c>
      <c r="I62">
        <v>1202</v>
      </c>
      <c r="J62">
        <v>213</v>
      </c>
      <c r="K62">
        <v>1110</v>
      </c>
      <c r="L62">
        <v>150</v>
      </c>
      <c r="M62">
        <v>990</v>
      </c>
      <c r="N62">
        <v>124</v>
      </c>
      <c r="O62">
        <v>1018</v>
      </c>
      <c r="P62">
        <v>137</v>
      </c>
      <c r="Q62">
        <v>1002</v>
      </c>
      <c r="R62">
        <v>139.6</v>
      </c>
      <c r="S62">
        <v>1007.6</v>
      </c>
      <c r="T62">
        <v>158.4</v>
      </c>
      <c r="U62">
        <v>1050</v>
      </c>
    </row>
    <row r="63" spans="2:21">
      <c r="B63" s="221">
        <v>0.125</v>
      </c>
      <c r="C63" t="s">
        <v>155</v>
      </c>
      <c r="D63">
        <v>128</v>
      </c>
      <c r="E63">
        <v>1098</v>
      </c>
      <c r="F63">
        <v>151</v>
      </c>
      <c r="G63">
        <v>1018</v>
      </c>
      <c r="H63">
        <v>165</v>
      </c>
      <c r="I63">
        <v>1166</v>
      </c>
      <c r="J63">
        <v>180</v>
      </c>
      <c r="K63">
        <v>1032</v>
      </c>
      <c r="L63">
        <v>144</v>
      </c>
      <c r="M63">
        <v>1048</v>
      </c>
      <c r="N63">
        <v>170</v>
      </c>
      <c r="O63">
        <v>1009</v>
      </c>
      <c r="P63">
        <v>141</v>
      </c>
      <c r="Q63">
        <v>991</v>
      </c>
      <c r="R63">
        <v>146.80000000000001</v>
      </c>
      <c r="S63">
        <v>1032.8</v>
      </c>
      <c r="T63">
        <v>154.1</v>
      </c>
      <c r="U63">
        <v>1051.7</v>
      </c>
    </row>
    <row r="64" spans="2:21">
      <c r="B64" s="221">
        <v>0.16666666666666666</v>
      </c>
      <c r="C64" t="s">
        <v>155</v>
      </c>
      <c r="D64">
        <v>145</v>
      </c>
      <c r="E64">
        <v>1129</v>
      </c>
      <c r="F64">
        <v>172</v>
      </c>
      <c r="G64">
        <v>1058</v>
      </c>
      <c r="H64">
        <v>170</v>
      </c>
      <c r="I64">
        <v>1127</v>
      </c>
      <c r="J64">
        <v>152</v>
      </c>
      <c r="K64">
        <v>996</v>
      </c>
      <c r="L64">
        <v>118</v>
      </c>
      <c r="M64">
        <v>1059</v>
      </c>
      <c r="N64">
        <v>144</v>
      </c>
      <c r="O64">
        <v>1142</v>
      </c>
      <c r="P64">
        <v>150</v>
      </c>
      <c r="Q64">
        <v>1080</v>
      </c>
      <c r="R64">
        <v>145.80000000000001</v>
      </c>
      <c r="S64">
        <v>1093.5999999999999</v>
      </c>
      <c r="T64" s="224">
        <v>150.1</v>
      </c>
      <c r="U64">
        <v>1084.4000000000001</v>
      </c>
    </row>
    <row r="65" spans="2:21">
      <c r="B65" s="221">
        <v>0.20833333333333334</v>
      </c>
      <c r="C65" t="s">
        <v>155</v>
      </c>
      <c r="D65">
        <v>140</v>
      </c>
      <c r="E65">
        <v>1184</v>
      </c>
      <c r="F65">
        <v>163</v>
      </c>
      <c r="G65">
        <v>1078</v>
      </c>
      <c r="H65">
        <v>153</v>
      </c>
      <c r="I65">
        <v>1000</v>
      </c>
      <c r="J65">
        <v>140</v>
      </c>
      <c r="K65">
        <v>907</v>
      </c>
      <c r="L65">
        <v>157</v>
      </c>
      <c r="M65">
        <v>1184</v>
      </c>
      <c r="N65">
        <v>166</v>
      </c>
      <c r="O65">
        <v>1176</v>
      </c>
      <c r="P65">
        <v>130</v>
      </c>
      <c r="Q65">
        <v>1078</v>
      </c>
      <c r="R65">
        <v>151.19999999999999</v>
      </c>
      <c r="S65">
        <v>1140</v>
      </c>
      <c r="T65">
        <v>149.9</v>
      </c>
      <c r="U65" s="224">
        <v>1086.7</v>
      </c>
    </row>
    <row r="66" spans="2:21">
      <c r="B66" s="221">
        <v>0.25</v>
      </c>
      <c r="C66" t="s">
        <v>155</v>
      </c>
      <c r="D66">
        <v>146</v>
      </c>
      <c r="E66">
        <v>999</v>
      </c>
      <c r="F66">
        <v>166</v>
      </c>
      <c r="G66">
        <v>1108</v>
      </c>
      <c r="H66">
        <v>187</v>
      </c>
      <c r="I66">
        <v>984</v>
      </c>
      <c r="J66">
        <v>132</v>
      </c>
      <c r="K66">
        <v>840</v>
      </c>
      <c r="L66">
        <v>130</v>
      </c>
      <c r="M66">
        <v>1001</v>
      </c>
      <c r="N66">
        <v>130</v>
      </c>
      <c r="O66">
        <v>982</v>
      </c>
      <c r="P66">
        <v>122</v>
      </c>
      <c r="Q66">
        <v>1044</v>
      </c>
      <c r="R66">
        <v>138.80000000000001</v>
      </c>
      <c r="S66">
        <v>1026.8</v>
      </c>
      <c r="T66">
        <v>144.69999999999999</v>
      </c>
      <c r="U66">
        <v>994</v>
      </c>
    </row>
    <row r="67" spans="2:21">
      <c r="B67" s="221">
        <v>0.29166666666666669</v>
      </c>
      <c r="C67" t="s">
        <v>155</v>
      </c>
      <c r="D67">
        <v>118</v>
      </c>
      <c r="E67">
        <v>758</v>
      </c>
      <c r="F67">
        <v>108</v>
      </c>
      <c r="G67">
        <v>858</v>
      </c>
      <c r="H67">
        <v>119</v>
      </c>
      <c r="I67">
        <v>740</v>
      </c>
      <c r="J67">
        <v>74</v>
      </c>
      <c r="K67">
        <v>766</v>
      </c>
      <c r="L67">
        <v>85</v>
      </c>
      <c r="M67">
        <v>799</v>
      </c>
      <c r="N67">
        <v>86</v>
      </c>
      <c r="O67">
        <v>799</v>
      </c>
      <c r="P67">
        <v>89</v>
      </c>
      <c r="Q67">
        <v>814</v>
      </c>
      <c r="R67">
        <v>97.2</v>
      </c>
      <c r="S67">
        <v>805.6</v>
      </c>
      <c r="T67">
        <v>97</v>
      </c>
      <c r="U67">
        <v>790.6</v>
      </c>
    </row>
    <row r="68" spans="2:21">
      <c r="B68" s="221">
        <v>0.33333333333333331</v>
      </c>
      <c r="C68" t="s">
        <v>155</v>
      </c>
      <c r="D68">
        <v>72</v>
      </c>
      <c r="E68">
        <v>688</v>
      </c>
      <c r="F68">
        <v>78</v>
      </c>
      <c r="G68">
        <v>696</v>
      </c>
      <c r="H68">
        <v>91</v>
      </c>
      <c r="I68">
        <v>628</v>
      </c>
      <c r="J68">
        <v>78</v>
      </c>
      <c r="K68">
        <v>596</v>
      </c>
      <c r="L68">
        <v>76</v>
      </c>
      <c r="M68">
        <v>614</v>
      </c>
      <c r="N68">
        <v>80</v>
      </c>
      <c r="O68">
        <v>664</v>
      </c>
      <c r="P68">
        <v>69</v>
      </c>
      <c r="Q68">
        <v>662</v>
      </c>
      <c r="R68">
        <v>75</v>
      </c>
      <c r="S68">
        <v>664.8</v>
      </c>
      <c r="T68">
        <v>77.7</v>
      </c>
      <c r="U68">
        <v>649.70000000000005</v>
      </c>
    </row>
    <row r="69" spans="2:21">
      <c r="B69" s="221">
        <v>0.375</v>
      </c>
      <c r="C69" t="s">
        <v>155</v>
      </c>
      <c r="D69">
        <v>56</v>
      </c>
      <c r="E69">
        <v>598</v>
      </c>
      <c r="F69">
        <v>99</v>
      </c>
      <c r="G69">
        <v>672</v>
      </c>
      <c r="H69">
        <v>107</v>
      </c>
      <c r="I69">
        <v>589</v>
      </c>
      <c r="J69">
        <v>49</v>
      </c>
      <c r="K69">
        <v>419</v>
      </c>
      <c r="L69">
        <v>51</v>
      </c>
      <c r="M69">
        <v>504</v>
      </c>
      <c r="N69">
        <v>52</v>
      </c>
      <c r="O69">
        <v>558</v>
      </c>
      <c r="P69">
        <v>64</v>
      </c>
      <c r="Q69">
        <v>508</v>
      </c>
      <c r="R69">
        <v>64.400000000000006</v>
      </c>
      <c r="S69">
        <v>568</v>
      </c>
      <c r="T69">
        <v>68.3</v>
      </c>
      <c r="U69">
        <v>549.70000000000005</v>
      </c>
    </row>
    <row r="70" spans="2:21">
      <c r="B70" s="221">
        <v>0.41666666666666669</v>
      </c>
      <c r="C70" t="s">
        <v>155</v>
      </c>
      <c r="D70">
        <v>39</v>
      </c>
      <c r="E70">
        <v>386</v>
      </c>
      <c r="F70">
        <v>62</v>
      </c>
      <c r="G70">
        <v>468</v>
      </c>
      <c r="H70">
        <v>63</v>
      </c>
      <c r="I70">
        <v>508</v>
      </c>
      <c r="J70">
        <v>47</v>
      </c>
      <c r="K70">
        <v>289</v>
      </c>
      <c r="L70">
        <v>23</v>
      </c>
      <c r="M70">
        <v>328</v>
      </c>
      <c r="N70">
        <v>55</v>
      </c>
      <c r="O70">
        <v>351</v>
      </c>
      <c r="P70">
        <v>47</v>
      </c>
      <c r="Q70">
        <v>363</v>
      </c>
      <c r="R70">
        <v>45.2</v>
      </c>
      <c r="S70">
        <v>379.2</v>
      </c>
      <c r="T70">
        <v>48</v>
      </c>
      <c r="U70">
        <v>384.7</v>
      </c>
    </row>
    <row r="71" spans="2:21">
      <c r="B71" s="221">
        <v>0.45833333333333331</v>
      </c>
      <c r="C71" t="s">
        <v>155</v>
      </c>
      <c r="D71">
        <v>33</v>
      </c>
      <c r="E71">
        <v>230</v>
      </c>
      <c r="F71">
        <v>56</v>
      </c>
      <c r="G71">
        <v>350</v>
      </c>
      <c r="H71">
        <v>70</v>
      </c>
      <c r="I71">
        <v>343</v>
      </c>
      <c r="J71">
        <v>31</v>
      </c>
      <c r="K71">
        <v>166</v>
      </c>
      <c r="L71">
        <v>29</v>
      </c>
      <c r="M71">
        <v>196</v>
      </c>
      <c r="N71">
        <v>21</v>
      </c>
      <c r="O71">
        <v>207</v>
      </c>
      <c r="P71">
        <v>23</v>
      </c>
      <c r="Q71">
        <v>187</v>
      </c>
      <c r="R71">
        <v>32.4</v>
      </c>
      <c r="S71">
        <v>234</v>
      </c>
      <c r="T71">
        <v>37.6</v>
      </c>
      <c r="U71">
        <v>239.9</v>
      </c>
    </row>
    <row r="72" spans="2:21">
      <c r="B72" s="221"/>
    </row>
    <row r="73" spans="2:21">
      <c r="B73" s="221"/>
    </row>
    <row r="74" spans="2:21">
      <c r="B74" s="219" t="s">
        <v>240</v>
      </c>
    </row>
    <row r="75" spans="2:21">
      <c r="B75" t="s">
        <v>228</v>
      </c>
    </row>
    <row r="76" spans="2:21">
      <c r="D76" s="429" t="s">
        <v>247</v>
      </c>
      <c r="E76" s="429"/>
      <c r="F76" s="429" t="s">
        <v>241</v>
      </c>
      <c r="G76" s="429"/>
      <c r="H76" s="429" t="s">
        <v>242</v>
      </c>
      <c r="I76" s="429"/>
      <c r="J76" s="429" t="s">
        <v>243</v>
      </c>
      <c r="K76" s="429"/>
      <c r="L76" s="429" t="s">
        <v>244</v>
      </c>
      <c r="M76" s="429"/>
      <c r="N76" s="429" t="s">
        <v>245</v>
      </c>
      <c r="O76" s="429"/>
      <c r="P76" s="429" t="s">
        <v>246</v>
      </c>
      <c r="Q76" s="429"/>
      <c r="R76" s="429" t="s">
        <v>248</v>
      </c>
      <c r="S76" s="429"/>
      <c r="T76" s="429" t="s">
        <v>226</v>
      </c>
      <c r="U76" s="429"/>
    </row>
    <row r="77" spans="2:21">
      <c r="D77" s="438">
        <v>43019</v>
      </c>
      <c r="E77" s="438"/>
      <c r="F77" s="438">
        <v>43020</v>
      </c>
      <c r="G77" s="438"/>
      <c r="H77" s="438"/>
      <c r="I77" s="438"/>
      <c r="J77" s="438"/>
      <c r="K77" s="438"/>
      <c r="L77" s="438"/>
      <c r="M77" s="438"/>
      <c r="N77" s="438"/>
      <c r="O77" s="438"/>
      <c r="P77" s="438"/>
      <c r="Q77" s="438"/>
    </row>
    <row r="78" spans="2:21">
      <c r="B78" s="221">
        <v>0.5</v>
      </c>
      <c r="C78" t="s">
        <v>156</v>
      </c>
      <c r="D78">
        <v>20</v>
      </c>
      <c r="E78">
        <v>149</v>
      </c>
      <c r="F78">
        <v>14</v>
      </c>
      <c r="G78">
        <v>180</v>
      </c>
      <c r="H78">
        <v>19</v>
      </c>
      <c r="I78">
        <v>214</v>
      </c>
      <c r="J78">
        <v>20</v>
      </c>
      <c r="K78">
        <v>404</v>
      </c>
      <c r="L78">
        <v>20</v>
      </c>
      <c r="M78">
        <v>378</v>
      </c>
      <c r="N78">
        <v>15</v>
      </c>
      <c r="O78">
        <v>196</v>
      </c>
      <c r="P78">
        <v>14</v>
      </c>
      <c r="Q78">
        <v>172</v>
      </c>
      <c r="R78">
        <v>16.399999999999999</v>
      </c>
      <c r="S78">
        <v>182.2</v>
      </c>
      <c r="T78">
        <v>17.399999999999999</v>
      </c>
      <c r="U78">
        <v>241.9</v>
      </c>
    </row>
    <row r="79" spans="2:21">
      <c r="B79" s="221">
        <v>4.1666666666666664E-2</v>
      </c>
      <c r="C79" t="s">
        <v>156</v>
      </c>
      <c r="D79">
        <v>7</v>
      </c>
      <c r="E79">
        <v>84</v>
      </c>
      <c r="F79">
        <v>7</v>
      </c>
      <c r="G79">
        <v>88</v>
      </c>
      <c r="H79">
        <v>12</v>
      </c>
      <c r="I79">
        <v>98</v>
      </c>
      <c r="J79">
        <v>16</v>
      </c>
      <c r="K79">
        <v>260</v>
      </c>
      <c r="L79">
        <v>16</v>
      </c>
      <c r="M79">
        <v>296</v>
      </c>
      <c r="N79">
        <v>10</v>
      </c>
      <c r="O79">
        <v>116</v>
      </c>
      <c r="P79">
        <v>8</v>
      </c>
      <c r="Q79">
        <v>106</v>
      </c>
      <c r="R79">
        <v>8.8000000000000007</v>
      </c>
      <c r="S79">
        <v>98.4</v>
      </c>
      <c r="T79">
        <v>10.9</v>
      </c>
      <c r="U79">
        <v>149.69999999999999</v>
      </c>
    </row>
    <row r="80" spans="2:21">
      <c r="B80" s="221">
        <v>8.3333333333333329E-2</v>
      </c>
      <c r="C80" t="s">
        <v>156</v>
      </c>
      <c r="D80">
        <v>5</v>
      </c>
      <c r="E80">
        <v>49</v>
      </c>
      <c r="F80">
        <v>10</v>
      </c>
      <c r="G80">
        <v>83</v>
      </c>
      <c r="H80">
        <v>7</v>
      </c>
      <c r="I80">
        <v>98</v>
      </c>
      <c r="J80">
        <v>18</v>
      </c>
      <c r="K80">
        <v>227</v>
      </c>
      <c r="L80">
        <v>10</v>
      </c>
      <c r="M80">
        <v>222</v>
      </c>
      <c r="N80">
        <v>8</v>
      </c>
      <c r="O80">
        <v>66</v>
      </c>
      <c r="P80">
        <v>13</v>
      </c>
      <c r="Q80">
        <v>78</v>
      </c>
      <c r="R80">
        <v>8.6</v>
      </c>
      <c r="S80">
        <v>74.8</v>
      </c>
      <c r="T80">
        <v>10.1</v>
      </c>
      <c r="U80">
        <v>117.6</v>
      </c>
    </row>
    <row r="81" spans="2:21">
      <c r="B81" s="221">
        <v>0.125</v>
      </c>
      <c r="C81" t="s">
        <v>156</v>
      </c>
      <c r="D81">
        <v>8</v>
      </c>
      <c r="E81">
        <v>60</v>
      </c>
      <c r="F81">
        <v>6</v>
      </c>
      <c r="G81">
        <v>55</v>
      </c>
      <c r="H81">
        <v>6</v>
      </c>
      <c r="I81">
        <v>60</v>
      </c>
      <c r="J81">
        <v>7</v>
      </c>
      <c r="K81">
        <v>112</v>
      </c>
      <c r="L81">
        <v>11</v>
      </c>
      <c r="M81">
        <v>114</v>
      </c>
      <c r="N81">
        <v>4</v>
      </c>
      <c r="O81">
        <v>52</v>
      </c>
      <c r="P81">
        <v>7</v>
      </c>
      <c r="Q81">
        <v>56</v>
      </c>
      <c r="R81">
        <v>6.2</v>
      </c>
      <c r="S81">
        <v>56.6</v>
      </c>
      <c r="T81">
        <v>7</v>
      </c>
      <c r="U81">
        <v>72.7</v>
      </c>
    </row>
    <row r="82" spans="2:21">
      <c r="B82" s="221">
        <v>0.16666666666666666</v>
      </c>
      <c r="C82" t="s">
        <v>156</v>
      </c>
      <c r="D82">
        <v>10</v>
      </c>
      <c r="E82">
        <v>62</v>
      </c>
      <c r="F82">
        <v>10</v>
      </c>
      <c r="G82">
        <v>81</v>
      </c>
      <c r="H82">
        <v>16</v>
      </c>
      <c r="I82">
        <v>64</v>
      </c>
      <c r="J82">
        <v>4</v>
      </c>
      <c r="K82">
        <v>59</v>
      </c>
      <c r="L82">
        <v>7</v>
      </c>
      <c r="M82">
        <v>64</v>
      </c>
      <c r="N82">
        <v>14</v>
      </c>
      <c r="O82">
        <v>88</v>
      </c>
      <c r="P82">
        <v>8</v>
      </c>
      <c r="Q82">
        <v>86</v>
      </c>
      <c r="R82">
        <v>11.6</v>
      </c>
      <c r="S82">
        <v>76.2</v>
      </c>
      <c r="T82">
        <v>9.9</v>
      </c>
      <c r="U82">
        <v>72</v>
      </c>
    </row>
    <row r="83" spans="2:21">
      <c r="B83" s="221">
        <v>0.20833333333333334</v>
      </c>
      <c r="C83" t="s">
        <v>156</v>
      </c>
      <c r="D83">
        <v>50</v>
      </c>
      <c r="E83">
        <v>166</v>
      </c>
      <c r="F83">
        <v>52</v>
      </c>
      <c r="G83">
        <v>206</v>
      </c>
      <c r="H83">
        <v>45</v>
      </c>
      <c r="I83">
        <v>174</v>
      </c>
      <c r="J83">
        <v>16</v>
      </c>
      <c r="K83">
        <v>98</v>
      </c>
      <c r="L83">
        <v>5</v>
      </c>
      <c r="M83">
        <v>62</v>
      </c>
      <c r="N83">
        <v>40</v>
      </c>
      <c r="O83">
        <v>177</v>
      </c>
      <c r="P83">
        <v>69</v>
      </c>
      <c r="Q83">
        <v>210</v>
      </c>
      <c r="R83">
        <v>51.2</v>
      </c>
      <c r="S83">
        <v>186.6</v>
      </c>
      <c r="T83">
        <v>39.6</v>
      </c>
      <c r="U83">
        <v>156.1</v>
      </c>
    </row>
    <row r="84" spans="2:21">
      <c r="B84" s="221">
        <v>0.25</v>
      </c>
      <c r="C84" t="s">
        <v>156</v>
      </c>
      <c r="D84">
        <v>142</v>
      </c>
      <c r="E84">
        <v>69</v>
      </c>
      <c r="F84">
        <v>160</v>
      </c>
      <c r="G84">
        <v>552</v>
      </c>
      <c r="H84">
        <v>137</v>
      </c>
      <c r="I84">
        <v>503</v>
      </c>
      <c r="J84">
        <v>36</v>
      </c>
      <c r="K84">
        <v>166</v>
      </c>
      <c r="L84">
        <v>32</v>
      </c>
      <c r="M84">
        <v>158</v>
      </c>
      <c r="N84">
        <v>143</v>
      </c>
      <c r="O84">
        <v>532</v>
      </c>
      <c r="P84">
        <v>166</v>
      </c>
      <c r="Q84">
        <v>508</v>
      </c>
      <c r="R84">
        <v>149.6</v>
      </c>
      <c r="S84">
        <v>432.8</v>
      </c>
      <c r="T84">
        <v>116.6</v>
      </c>
      <c r="U84">
        <v>355.4</v>
      </c>
    </row>
    <row r="85" spans="2:21">
      <c r="B85" s="221">
        <v>0.29166666666666669</v>
      </c>
      <c r="C85" t="s">
        <v>156</v>
      </c>
      <c r="D85">
        <v>275</v>
      </c>
      <c r="E85">
        <v>1</v>
      </c>
      <c r="F85">
        <v>306</v>
      </c>
      <c r="G85">
        <v>830</v>
      </c>
      <c r="H85">
        <v>260</v>
      </c>
      <c r="I85">
        <v>771</v>
      </c>
      <c r="J85">
        <v>60</v>
      </c>
      <c r="K85">
        <v>396</v>
      </c>
      <c r="L85">
        <v>64</v>
      </c>
      <c r="M85">
        <v>294</v>
      </c>
      <c r="N85">
        <v>292</v>
      </c>
      <c r="O85">
        <v>850</v>
      </c>
      <c r="P85">
        <v>316</v>
      </c>
      <c r="Q85">
        <v>826</v>
      </c>
      <c r="R85">
        <v>289.8</v>
      </c>
      <c r="S85">
        <v>655.6</v>
      </c>
      <c r="T85">
        <v>224.7</v>
      </c>
      <c r="U85">
        <v>566.9</v>
      </c>
    </row>
    <row r="86" spans="2:21">
      <c r="B86" s="221">
        <v>0.33333333333333331</v>
      </c>
      <c r="C86" t="s">
        <v>156</v>
      </c>
      <c r="D86">
        <v>274</v>
      </c>
      <c r="E86">
        <v>3</v>
      </c>
      <c r="F86">
        <v>300</v>
      </c>
      <c r="G86">
        <v>984</v>
      </c>
      <c r="H86">
        <v>288</v>
      </c>
      <c r="I86">
        <v>826</v>
      </c>
      <c r="J86">
        <v>104</v>
      </c>
      <c r="K86">
        <v>730</v>
      </c>
      <c r="L86">
        <v>83</v>
      </c>
      <c r="M86">
        <v>336</v>
      </c>
      <c r="N86">
        <v>322</v>
      </c>
      <c r="O86">
        <v>956</v>
      </c>
      <c r="P86">
        <v>366</v>
      </c>
      <c r="Q86">
        <v>960</v>
      </c>
      <c r="R86">
        <v>310</v>
      </c>
      <c r="S86">
        <v>745.8</v>
      </c>
      <c r="T86" s="224">
        <v>248.1</v>
      </c>
      <c r="U86" s="224">
        <v>685</v>
      </c>
    </row>
    <row r="87" spans="2:21">
      <c r="B87" s="221">
        <v>0.375</v>
      </c>
      <c r="C87" t="s">
        <v>156</v>
      </c>
      <c r="D87">
        <v>226</v>
      </c>
      <c r="E87">
        <v>2</v>
      </c>
      <c r="F87">
        <v>268</v>
      </c>
      <c r="G87">
        <v>744</v>
      </c>
      <c r="H87">
        <v>244</v>
      </c>
      <c r="I87">
        <v>804</v>
      </c>
      <c r="J87">
        <v>151</v>
      </c>
      <c r="K87">
        <v>804</v>
      </c>
      <c r="L87">
        <v>132</v>
      </c>
      <c r="M87">
        <v>610</v>
      </c>
      <c r="N87">
        <v>210</v>
      </c>
      <c r="O87">
        <v>804</v>
      </c>
      <c r="P87">
        <v>254</v>
      </c>
      <c r="Q87">
        <v>799</v>
      </c>
      <c r="R87">
        <v>240.4</v>
      </c>
      <c r="S87">
        <v>630.6</v>
      </c>
      <c r="T87">
        <v>212.1</v>
      </c>
      <c r="U87">
        <v>652.4</v>
      </c>
    </row>
    <row r="88" spans="2:21">
      <c r="B88" s="221">
        <v>0.41666666666666669</v>
      </c>
      <c r="C88" t="s">
        <v>156</v>
      </c>
      <c r="D88">
        <v>178</v>
      </c>
      <c r="E88">
        <v>280</v>
      </c>
      <c r="F88">
        <v>187</v>
      </c>
      <c r="G88">
        <v>842</v>
      </c>
      <c r="H88">
        <v>208</v>
      </c>
      <c r="I88">
        <v>836</v>
      </c>
      <c r="J88">
        <v>199</v>
      </c>
      <c r="K88">
        <v>912</v>
      </c>
      <c r="L88">
        <v>228</v>
      </c>
      <c r="M88">
        <v>809</v>
      </c>
      <c r="N88">
        <v>196</v>
      </c>
      <c r="O88">
        <v>760</v>
      </c>
      <c r="P88">
        <v>210</v>
      </c>
      <c r="Q88">
        <v>730</v>
      </c>
      <c r="R88">
        <v>195.8</v>
      </c>
      <c r="S88">
        <v>689.6</v>
      </c>
      <c r="T88">
        <v>200.9</v>
      </c>
      <c r="U88">
        <v>738.4</v>
      </c>
    </row>
    <row r="89" spans="2:21">
      <c r="B89" s="221">
        <v>0.45833333333333331</v>
      </c>
      <c r="C89" t="s">
        <v>156</v>
      </c>
      <c r="D89">
        <v>178</v>
      </c>
      <c r="E89">
        <v>929</v>
      </c>
      <c r="F89">
        <v>186</v>
      </c>
      <c r="G89">
        <v>874</v>
      </c>
      <c r="H89">
        <v>192</v>
      </c>
      <c r="I89">
        <v>924</v>
      </c>
      <c r="J89">
        <v>234</v>
      </c>
      <c r="K89">
        <v>951</v>
      </c>
      <c r="L89">
        <v>209</v>
      </c>
      <c r="M89">
        <v>939</v>
      </c>
      <c r="N89">
        <v>156</v>
      </c>
      <c r="O89">
        <v>914</v>
      </c>
      <c r="P89">
        <v>190</v>
      </c>
      <c r="Q89">
        <v>924</v>
      </c>
      <c r="R89">
        <v>180.4</v>
      </c>
      <c r="S89">
        <v>913</v>
      </c>
      <c r="T89">
        <v>192.1</v>
      </c>
      <c r="U89">
        <v>922.1</v>
      </c>
    </row>
    <row r="90" spans="2:21">
      <c r="B90" s="221">
        <v>0.5</v>
      </c>
      <c r="C90" t="s">
        <v>155</v>
      </c>
      <c r="D90">
        <v>192</v>
      </c>
      <c r="E90">
        <v>977</v>
      </c>
      <c r="F90">
        <v>217</v>
      </c>
      <c r="G90">
        <v>1008</v>
      </c>
      <c r="H90">
        <v>192</v>
      </c>
      <c r="I90">
        <v>1128</v>
      </c>
      <c r="J90">
        <v>234</v>
      </c>
      <c r="K90">
        <v>1027</v>
      </c>
      <c r="L90">
        <v>212</v>
      </c>
      <c r="M90">
        <v>1000</v>
      </c>
      <c r="N90">
        <v>211</v>
      </c>
      <c r="O90">
        <v>924</v>
      </c>
      <c r="P90">
        <v>204</v>
      </c>
      <c r="Q90">
        <v>948</v>
      </c>
      <c r="R90">
        <v>203.2</v>
      </c>
      <c r="S90">
        <v>997</v>
      </c>
      <c r="T90">
        <v>208.9</v>
      </c>
      <c r="U90">
        <v>1001.7</v>
      </c>
    </row>
    <row r="91" spans="2:21">
      <c r="B91" s="221">
        <v>4.1666666666666664E-2</v>
      </c>
      <c r="C91" t="s">
        <v>155</v>
      </c>
      <c r="D91">
        <v>168</v>
      </c>
      <c r="E91">
        <v>987</v>
      </c>
      <c r="F91">
        <v>200</v>
      </c>
      <c r="G91">
        <v>989</v>
      </c>
      <c r="H91">
        <v>200</v>
      </c>
      <c r="I91">
        <v>1108</v>
      </c>
      <c r="J91">
        <v>220</v>
      </c>
      <c r="K91">
        <v>1092</v>
      </c>
      <c r="L91">
        <v>231</v>
      </c>
      <c r="M91">
        <v>948</v>
      </c>
      <c r="N91">
        <v>186</v>
      </c>
      <c r="O91">
        <v>934</v>
      </c>
      <c r="P91">
        <v>186</v>
      </c>
      <c r="Q91">
        <v>944</v>
      </c>
      <c r="R91">
        <v>188</v>
      </c>
      <c r="S91">
        <v>992.4</v>
      </c>
      <c r="T91">
        <v>198.7</v>
      </c>
      <c r="U91">
        <v>1000.3</v>
      </c>
    </row>
    <row r="92" spans="2:21">
      <c r="B92" s="221">
        <v>8.3333333333333329E-2</v>
      </c>
      <c r="C92" t="s">
        <v>155</v>
      </c>
      <c r="D92">
        <v>208</v>
      </c>
      <c r="E92">
        <v>1246</v>
      </c>
      <c r="F92">
        <v>202</v>
      </c>
      <c r="G92">
        <v>1080</v>
      </c>
      <c r="H92">
        <v>226</v>
      </c>
      <c r="I92">
        <v>1268</v>
      </c>
      <c r="J92">
        <v>250</v>
      </c>
      <c r="K92">
        <v>1260</v>
      </c>
      <c r="L92">
        <v>238</v>
      </c>
      <c r="M92">
        <v>1129</v>
      </c>
      <c r="N92">
        <v>172</v>
      </c>
      <c r="O92">
        <v>1240</v>
      </c>
      <c r="P92">
        <v>188</v>
      </c>
      <c r="Q92">
        <v>1242</v>
      </c>
      <c r="R92">
        <v>199.2</v>
      </c>
      <c r="S92">
        <v>1215.2</v>
      </c>
      <c r="T92">
        <v>212</v>
      </c>
      <c r="U92">
        <v>1209.3</v>
      </c>
    </row>
    <row r="93" spans="2:21">
      <c r="B93" s="221">
        <v>0.125</v>
      </c>
      <c r="C93" t="s">
        <v>155</v>
      </c>
      <c r="D93">
        <v>246</v>
      </c>
      <c r="E93">
        <v>1174</v>
      </c>
      <c r="F93">
        <v>244</v>
      </c>
      <c r="G93">
        <v>1298</v>
      </c>
      <c r="H93">
        <v>227</v>
      </c>
      <c r="I93">
        <v>1226</v>
      </c>
      <c r="J93">
        <v>211</v>
      </c>
      <c r="K93">
        <v>1259</v>
      </c>
      <c r="L93">
        <v>218</v>
      </c>
      <c r="M93">
        <v>1118</v>
      </c>
      <c r="N93">
        <v>228</v>
      </c>
      <c r="O93">
        <v>1353</v>
      </c>
      <c r="P93">
        <v>216</v>
      </c>
      <c r="Q93">
        <v>1264</v>
      </c>
      <c r="R93">
        <v>232.2</v>
      </c>
      <c r="S93">
        <v>1263</v>
      </c>
      <c r="T93">
        <v>227.1</v>
      </c>
      <c r="U93">
        <v>1241.7</v>
      </c>
    </row>
    <row r="94" spans="2:21">
      <c r="B94" s="221">
        <v>0.16666666666666666</v>
      </c>
      <c r="C94" t="s">
        <v>155</v>
      </c>
      <c r="D94">
        <v>218</v>
      </c>
      <c r="E94">
        <v>1300</v>
      </c>
      <c r="F94">
        <v>248</v>
      </c>
      <c r="G94">
        <v>1304</v>
      </c>
      <c r="H94">
        <v>272</v>
      </c>
      <c r="I94">
        <v>1289</v>
      </c>
      <c r="J94">
        <v>224</v>
      </c>
      <c r="K94">
        <v>1188</v>
      </c>
      <c r="L94">
        <v>245</v>
      </c>
      <c r="M94">
        <v>1132</v>
      </c>
      <c r="N94">
        <v>256</v>
      </c>
      <c r="O94">
        <v>1258</v>
      </c>
      <c r="P94">
        <v>220</v>
      </c>
      <c r="Q94">
        <v>1344</v>
      </c>
      <c r="R94">
        <v>242.8</v>
      </c>
      <c r="S94">
        <v>1299</v>
      </c>
      <c r="T94">
        <v>240.4</v>
      </c>
      <c r="U94">
        <v>1259.3</v>
      </c>
    </row>
    <row r="95" spans="2:21">
      <c r="B95" s="221">
        <v>0.20833333333333334</v>
      </c>
      <c r="C95" t="s">
        <v>155</v>
      </c>
      <c r="D95">
        <v>272</v>
      </c>
      <c r="E95">
        <v>1354</v>
      </c>
      <c r="F95">
        <v>292</v>
      </c>
      <c r="G95">
        <v>1280</v>
      </c>
      <c r="H95">
        <v>279</v>
      </c>
      <c r="I95">
        <v>1468</v>
      </c>
      <c r="J95">
        <v>242</v>
      </c>
      <c r="K95">
        <v>1164</v>
      </c>
      <c r="L95">
        <v>190</v>
      </c>
      <c r="M95">
        <v>1127</v>
      </c>
      <c r="N95">
        <v>256</v>
      </c>
      <c r="O95">
        <v>1172</v>
      </c>
      <c r="P95">
        <v>260</v>
      </c>
      <c r="Q95">
        <v>1344</v>
      </c>
      <c r="R95">
        <v>271.8</v>
      </c>
      <c r="S95">
        <v>1323.6</v>
      </c>
      <c r="T95" s="224">
        <v>255.9</v>
      </c>
      <c r="U95">
        <v>1272.7</v>
      </c>
    </row>
    <row r="96" spans="2:21">
      <c r="B96" s="221">
        <v>0.25</v>
      </c>
      <c r="C96" t="s">
        <v>155</v>
      </c>
      <c r="D96">
        <v>180</v>
      </c>
      <c r="E96">
        <v>1502</v>
      </c>
      <c r="F96">
        <v>190</v>
      </c>
      <c r="G96">
        <v>1484</v>
      </c>
      <c r="H96">
        <v>212</v>
      </c>
      <c r="I96">
        <v>1402</v>
      </c>
      <c r="J96">
        <v>198</v>
      </c>
      <c r="K96">
        <v>1129</v>
      </c>
      <c r="L96">
        <v>176</v>
      </c>
      <c r="M96">
        <v>1036</v>
      </c>
      <c r="N96">
        <v>174</v>
      </c>
      <c r="O96">
        <v>1412</v>
      </c>
      <c r="P96">
        <v>194</v>
      </c>
      <c r="Q96">
        <v>1350</v>
      </c>
      <c r="R96">
        <v>190</v>
      </c>
      <c r="S96">
        <v>1430</v>
      </c>
      <c r="T96">
        <v>189.1</v>
      </c>
      <c r="U96" s="224">
        <v>1330.7</v>
      </c>
    </row>
    <row r="97" spans="2:21">
      <c r="B97" s="221">
        <v>0.29166666666666669</v>
      </c>
      <c r="C97" t="s">
        <v>155</v>
      </c>
      <c r="D97">
        <v>130</v>
      </c>
      <c r="E97">
        <v>1248</v>
      </c>
      <c r="F97">
        <v>140</v>
      </c>
      <c r="G97">
        <v>1265</v>
      </c>
      <c r="H97">
        <v>164</v>
      </c>
      <c r="I97">
        <v>1176</v>
      </c>
      <c r="J97">
        <v>155</v>
      </c>
      <c r="K97">
        <v>978</v>
      </c>
      <c r="L97">
        <v>122</v>
      </c>
      <c r="M97">
        <v>1149</v>
      </c>
      <c r="N97">
        <v>150</v>
      </c>
      <c r="O97">
        <v>1106</v>
      </c>
      <c r="P97">
        <v>147</v>
      </c>
      <c r="Q97">
        <v>1114</v>
      </c>
      <c r="R97">
        <v>146.19999999999999</v>
      </c>
      <c r="S97">
        <v>1181.8</v>
      </c>
      <c r="T97">
        <v>144</v>
      </c>
      <c r="U97">
        <v>1148</v>
      </c>
    </row>
    <row r="98" spans="2:21">
      <c r="B98" s="221">
        <v>0.33333333333333331</v>
      </c>
      <c r="C98" t="s">
        <v>155</v>
      </c>
      <c r="D98">
        <v>94</v>
      </c>
      <c r="E98">
        <v>940</v>
      </c>
      <c r="F98">
        <v>74</v>
      </c>
      <c r="G98">
        <v>976</v>
      </c>
      <c r="H98">
        <v>120</v>
      </c>
      <c r="I98">
        <v>801</v>
      </c>
      <c r="J98">
        <v>97</v>
      </c>
      <c r="K98">
        <v>793</v>
      </c>
      <c r="L98">
        <v>102</v>
      </c>
      <c r="M98">
        <v>852</v>
      </c>
      <c r="N98">
        <v>98</v>
      </c>
      <c r="O98">
        <v>796</v>
      </c>
      <c r="P98">
        <v>104</v>
      </c>
      <c r="Q98">
        <v>916</v>
      </c>
      <c r="R98">
        <v>98</v>
      </c>
      <c r="S98">
        <v>885.8</v>
      </c>
      <c r="T98">
        <v>98.4</v>
      </c>
      <c r="U98">
        <v>867.7</v>
      </c>
    </row>
    <row r="99" spans="2:21">
      <c r="B99" s="221">
        <v>0.375</v>
      </c>
      <c r="C99" t="s">
        <v>155</v>
      </c>
      <c r="D99">
        <v>75</v>
      </c>
      <c r="E99">
        <v>797</v>
      </c>
      <c r="F99">
        <v>78</v>
      </c>
      <c r="G99">
        <v>860</v>
      </c>
      <c r="H99">
        <v>92</v>
      </c>
      <c r="I99">
        <v>838</v>
      </c>
      <c r="J99">
        <v>95</v>
      </c>
      <c r="K99">
        <v>849</v>
      </c>
      <c r="L99">
        <v>61</v>
      </c>
      <c r="M99">
        <v>662</v>
      </c>
      <c r="N99">
        <v>82</v>
      </c>
      <c r="O99">
        <v>718</v>
      </c>
      <c r="P99">
        <v>68</v>
      </c>
      <c r="Q99">
        <v>846</v>
      </c>
      <c r="R99">
        <v>79</v>
      </c>
      <c r="S99">
        <v>811.8</v>
      </c>
      <c r="T99">
        <v>78.7</v>
      </c>
      <c r="U99">
        <v>795.7</v>
      </c>
    </row>
    <row r="100" spans="2:21">
      <c r="B100" s="221">
        <v>0.41666666666666669</v>
      </c>
      <c r="C100" t="s">
        <v>155</v>
      </c>
      <c r="D100">
        <v>50</v>
      </c>
      <c r="E100">
        <v>580</v>
      </c>
      <c r="F100">
        <v>64</v>
      </c>
      <c r="G100">
        <v>630</v>
      </c>
      <c r="H100">
        <v>62</v>
      </c>
      <c r="I100">
        <v>720</v>
      </c>
      <c r="J100">
        <v>76</v>
      </c>
      <c r="K100">
        <v>759</v>
      </c>
      <c r="L100">
        <v>36</v>
      </c>
      <c r="M100">
        <v>482</v>
      </c>
      <c r="N100">
        <v>36</v>
      </c>
      <c r="O100">
        <v>437</v>
      </c>
      <c r="P100">
        <v>59</v>
      </c>
      <c r="Q100">
        <v>522</v>
      </c>
      <c r="R100">
        <v>54.2</v>
      </c>
      <c r="S100">
        <v>577.79999999999995</v>
      </c>
      <c r="T100">
        <v>54.7</v>
      </c>
      <c r="U100">
        <v>590</v>
      </c>
    </row>
    <row r="101" spans="2:21">
      <c r="B101" s="221">
        <v>0.45833333333333331</v>
      </c>
      <c r="C101" t="s">
        <v>155</v>
      </c>
      <c r="D101">
        <v>19</v>
      </c>
      <c r="E101">
        <v>372</v>
      </c>
      <c r="F101">
        <v>30</v>
      </c>
      <c r="G101">
        <v>378</v>
      </c>
      <c r="H101">
        <v>44</v>
      </c>
      <c r="I101">
        <v>573</v>
      </c>
      <c r="J101">
        <v>68</v>
      </c>
      <c r="K101">
        <v>615</v>
      </c>
      <c r="L101">
        <v>30</v>
      </c>
      <c r="M101">
        <v>363</v>
      </c>
      <c r="N101">
        <v>28</v>
      </c>
      <c r="O101">
        <v>298</v>
      </c>
      <c r="P101">
        <v>33</v>
      </c>
      <c r="Q101">
        <v>350</v>
      </c>
      <c r="R101">
        <v>30.8</v>
      </c>
      <c r="S101">
        <v>394.2</v>
      </c>
      <c r="T101">
        <v>36</v>
      </c>
      <c r="U101">
        <v>421.3</v>
      </c>
    </row>
    <row r="102" spans="2:21">
      <c r="B102" s="221"/>
    </row>
    <row r="103" spans="2:21">
      <c r="B103" s="219" t="s">
        <v>249</v>
      </c>
    </row>
    <row r="104" spans="2:21">
      <c r="B104" t="s">
        <v>229</v>
      </c>
    </row>
    <row r="105" spans="2:21">
      <c r="D105" s="227" t="s">
        <v>250</v>
      </c>
    </row>
    <row r="106" spans="2:21">
      <c r="D106" s="429" t="s">
        <v>247</v>
      </c>
      <c r="E106" s="429"/>
      <c r="F106" s="429" t="s">
        <v>241</v>
      </c>
      <c r="G106" s="429"/>
      <c r="H106" s="429" t="s">
        <v>242</v>
      </c>
      <c r="I106" s="429"/>
      <c r="J106" s="429" t="s">
        <v>243</v>
      </c>
      <c r="K106" s="429"/>
      <c r="L106" s="429" t="s">
        <v>244</v>
      </c>
      <c r="M106" s="429"/>
      <c r="N106" s="429" t="s">
        <v>245</v>
      </c>
      <c r="O106" s="429"/>
      <c r="P106" s="429" t="s">
        <v>246</v>
      </c>
      <c r="Q106" s="429"/>
      <c r="R106" s="429" t="s">
        <v>248</v>
      </c>
      <c r="S106" s="429"/>
      <c r="T106" s="429" t="s">
        <v>226</v>
      </c>
      <c r="U106" s="429"/>
    </row>
    <row r="107" spans="2:21">
      <c r="D107" s="438">
        <v>43019</v>
      </c>
      <c r="E107" s="438"/>
      <c r="F107" s="438">
        <v>43020</v>
      </c>
      <c r="G107" s="438"/>
      <c r="H107" s="438"/>
      <c r="I107" s="438"/>
      <c r="J107" s="438"/>
      <c r="K107" s="438"/>
      <c r="L107" s="438"/>
      <c r="M107" s="438"/>
      <c r="N107" s="438"/>
      <c r="O107" s="438"/>
      <c r="P107" s="438"/>
      <c r="Q107" s="438"/>
    </row>
    <row r="108" spans="2:21">
      <c r="B108" s="221">
        <v>0.5</v>
      </c>
      <c r="C108" t="s">
        <v>156</v>
      </c>
      <c r="D108">
        <v>91</v>
      </c>
      <c r="E108">
        <v>127</v>
      </c>
      <c r="F108">
        <v>121</v>
      </c>
      <c r="G108">
        <v>142</v>
      </c>
      <c r="H108">
        <v>95</v>
      </c>
      <c r="I108">
        <v>164</v>
      </c>
      <c r="J108">
        <v>207</v>
      </c>
      <c r="K108">
        <v>324</v>
      </c>
      <c r="L108">
        <v>223</v>
      </c>
      <c r="M108">
        <v>436</v>
      </c>
      <c r="N108">
        <v>94</v>
      </c>
      <c r="O108">
        <v>192</v>
      </c>
      <c r="P108">
        <v>96</v>
      </c>
      <c r="Q108">
        <v>180</v>
      </c>
      <c r="R108">
        <v>99.4</v>
      </c>
      <c r="S108">
        <v>161</v>
      </c>
      <c r="T108">
        <v>132.4</v>
      </c>
      <c r="U108">
        <v>223.6</v>
      </c>
    </row>
    <row r="109" spans="2:21">
      <c r="B109" s="221">
        <v>4.1666666666666664E-2</v>
      </c>
      <c r="C109" t="s">
        <v>156</v>
      </c>
      <c r="D109">
        <v>67</v>
      </c>
      <c r="E109">
        <v>88</v>
      </c>
      <c r="F109">
        <v>72</v>
      </c>
      <c r="G109">
        <v>82</v>
      </c>
      <c r="H109">
        <v>93</v>
      </c>
      <c r="I109">
        <v>94</v>
      </c>
      <c r="J109">
        <v>124</v>
      </c>
      <c r="K109">
        <v>242</v>
      </c>
      <c r="L109">
        <v>136</v>
      </c>
      <c r="M109">
        <v>290</v>
      </c>
      <c r="N109">
        <v>66</v>
      </c>
      <c r="O109">
        <v>119</v>
      </c>
      <c r="P109">
        <v>63</v>
      </c>
      <c r="Q109">
        <v>100</v>
      </c>
      <c r="R109">
        <v>72.2</v>
      </c>
      <c r="S109">
        <v>96.6</v>
      </c>
      <c r="T109">
        <v>88.7</v>
      </c>
      <c r="U109">
        <v>145</v>
      </c>
    </row>
    <row r="110" spans="2:21">
      <c r="B110" s="221">
        <v>8.3333333333333329E-2</v>
      </c>
      <c r="C110" t="s">
        <v>156</v>
      </c>
      <c r="D110">
        <v>38</v>
      </c>
      <c r="E110">
        <v>58</v>
      </c>
      <c r="F110">
        <v>59</v>
      </c>
      <c r="G110">
        <v>80</v>
      </c>
      <c r="H110">
        <v>60</v>
      </c>
      <c r="I110">
        <v>76</v>
      </c>
      <c r="J110">
        <v>118</v>
      </c>
      <c r="K110">
        <v>177</v>
      </c>
      <c r="L110">
        <v>126</v>
      </c>
      <c r="M110">
        <v>210</v>
      </c>
      <c r="N110">
        <v>48</v>
      </c>
      <c r="O110">
        <v>82</v>
      </c>
      <c r="P110">
        <v>49</v>
      </c>
      <c r="Q110">
        <v>87</v>
      </c>
      <c r="R110">
        <v>50.8</v>
      </c>
      <c r="S110">
        <v>76.599999999999994</v>
      </c>
      <c r="T110">
        <v>71.099999999999994</v>
      </c>
      <c r="U110">
        <v>110</v>
      </c>
    </row>
    <row r="111" spans="2:21">
      <c r="B111" s="221">
        <v>0.125</v>
      </c>
      <c r="C111" t="s">
        <v>156</v>
      </c>
      <c r="D111">
        <v>56</v>
      </c>
      <c r="E111">
        <v>50</v>
      </c>
      <c r="F111">
        <v>58</v>
      </c>
      <c r="G111">
        <v>56</v>
      </c>
      <c r="H111">
        <v>72</v>
      </c>
      <c r="I111">
        <v>48</v>
      </c>
      <c r="J111">
        <v>76</v>
      </c>
      <c r="K111">
        <v>108</v>
      </c>
      <c r="L111">
        <v>70</v>
      </c>
      <c r="M111">
        <v>120</v>
      </c>
      <c r="N111">
        <v>44</v>
      </c>
      <c r="O111">
        <v>66</v>
      </c>
      <c r="P111">
        <v>64</v>
      </c>
      <c r="Q111">
        <v>76</v>
      </c>
      <c r="R111">
        <v>58.8</v>
      </c>
      <c r="S111">
        <v>59.2</v>
      </c>
      <c r="T111">
        <v>62.9</v>
      </c>
      <c r="U111">
        <v>74.900000000000006</v>
      </c>
    </row>
    <row r="112" spans="2:21">
      <c r="B112" s="221">
        <v>0.16666666666666666</v>
      </c>
      <c r="C112" t="s">
        <v>156</v>
      </c>
      <c r="D112">
        <v>163</v>
      </c>
      <c r="E112">
        <v>88</v>
      </c>
      <c r="F112">
        <v>166</v>
      </c>
      <c r="G112">
        <v>86</v>
      </c>
      <c r="H112">
        <v>150</v>
      </c>
      <c r="I112">
        <v>86</v>
      </c>
      <c r="J112">
        <v>75</v>
      </c>
      <c r="K112">
        <v>50</v>
      </c>
      <c r="L112">
        <v>52</v>
      </c>
      <c r="M112">
        <v>78</v>
      </c>
      <c r="N112">
        <v>169</v>
      </c>
      <c r="O112">
        <v>182</v>
      </c>
      <c r="P112">
        <v>148</v>
      </c>
      <c r="Q112">
        <v>106</v>
      </c>
      <c r="R112">
        <v>159.19999999999999</v>
      </c>
      <c r="S112">
        <v>109.6</v>
      </c>
      <c r="T112">
        <v>131.9</v>
      </c>
      <c r="U112">
        <v>96.6</v>
      </c>
    </row>
    <row r="113" spans="2:21">
      <c r="B113" s="221">
        <v>0.20833333333333334</v>
      </c>
      <c r="C113" t="s">
        <v>156</v>
      </c>
      <c r="D113">
        <v>514</v>
      </c>
      <c r="E113">
        <v>250</v>
      </c>
      <c r="F113">
        <v>484</v>
      </c>
      <c r="G113">
        <v>260</v>
      </c>
      <c r="H113">
        <v>462</v>
      </c>
      <c r="I113">
        <v>242</v>
      </c>
      <c r="J113">
        <v>159</v>
      </c>
      <c r="K113">
        <v>120</v>
      </c>
      <c r="L113">
        <v>104</v>
      </c>
      <c r="M113">
        <v>116</v>
      </c>
      <c r="N113">
        <v>448</v>
      </c>
      <c r="O113">
        <v>374</v>
      </c>
      <c r="P113">
        <v>512</v>
      </c>
      <c r="Q113">
        <v>338</v>
      </c>
      <c r="R113">
        <v>484</v>
      </c>
      <c r="S113">
        <v>292.8</v>
      </c>
      <c r="T113">
        <v>383.3</v>
      </c>
      <c r="U113">
        <v>242.9</v>
      </c>
    </row>
    <row r="114" spans="2:21">
      <c r="B114" s="221">
        <v>0.25</v>
      </c>
      <c r="C114" t="s">
        <v>156</v>
      </c>
      <c r="D114">
        <v>1108</v>
      </c>
      <c r="E114">
        <v>504</v>
      </c>
      <c r="F114">
        <v>1005</v>
      </c>
      <c r="G114">
        <v>548</v>
      </c>
      <c r="H114">
        <v>990</v>
      </c>
      <c r="I114">
        <v>498</v>
      </c>
      <c r="J114">
        <v>269</v>
      </c>
      <c r="K114">
        <v>210</v>
      </c>
      <c r="L114">
        <v>218</v>
      </c>
      <c r="M114">
        <v>234</v>
      </c>
      <c r="N114">
        <v>990</v>
      </c>
      <c r="O114">
        <v>898</v>
      </c>
      <c r="P114">
        <v>1035</v>
      </c>
      <c r="Q114">
        <v>806</v>
      </c>
      <c r="R114">
        <v>1025.5999999999999</v>
      </c>
      <c r="S114">
        <v>650.79999999999995</v>
      </c>
      <c r="T114">
        <v>802.1</v>
      </c>
      <c r="U114">
        <v>528.29999999999995</v>
      </c>
    </row>
    <row r="115" spans="2:21">
      <c r="B115" s="221">
        <v>0.29166666666666669</v>
      </c>
      <c r="C115" t="s">
        <v>156</v>
      </c>
      <c r="D115">
        <v>1101</v>
      </c>
      <c r="E115">
        <v>694</v>
      </c>
      <c r="F115">
        <v>1104</v>
      </c>
      <c r="G115">
        <v>712</v>
      </c>
      <c r="H115">
        <v>1002</v>
      </c>
      <c r="I115">
        <v>712</v>
      </c>
      <c r="J115">
        <v>454</v>
      </c>
      <c r="K115">
        <v>494</v>
      </c>
      <c r="L115">
        <v>276</v>
      </c>
      <c r="M115">
        <v>376</v>
      </c>
      <c r="N115">
        <v>1056</v>
      </c>
      <c r="O115">
        <v>1144</v>
      </c>
      <c r="P115">
        <v>1040</v>
      </c>
      <c r="Q115">
        <v>954</v>
      </c>
      <c r="R115">
        <v>1060.5999999999999</v>
      </c>
      <c r="S115">
        <v>843.2</v>
      </c>
      <c r="T115">
        <v>861.9</v>
      </c>
      <c r="U115">
        <v>726.6</v>
      </c>
    </row>
    <row r="116" spans="2:21">
      <c r="B116" s="221">
        <v>0.33333333333333331</v>
      </c>
      <c r="C116" t="s">
        <v>156</v>
      </c>
      <c r="D116">
        <v>1086</v>
      </c>
      <c r="E116">
        <v>762</v>
      </c>
      <c r="F116">
        <v>998</v>
      </c>
      <c r="G116">
        <v>840</v>
      </c>
      <c r="H116">
        <v>1089</v>
      </c>
      <c r="I116">
        <v>755</v>
      </c>
      <c r="J116">
        <v>793</v>
      </c>
      <c r="K116">
        <v>772</v>
      </c>
      <c r="L116">
        <v>512</v>
      </c>
      <c r="M116">
        <v>420</v>
      </c>
      <c r="N116">
        <v>1091</v>
      </c>
      <c r="O116">
        <v>1080</v>
      </c>
      <c r="P116">
        <v>984</v>
      </c>
      <c r="Q116">
        <v>982</v>
      </c>
      <c r="R116">
        <v>1049.5999999999999</v>
      </c>
      <c r="S116">
        <v>883.8</v>
      </c>
      <c r="T116">
        <v>936.1</v>
      </c>
      <c r="U116">
        <v>801.6</v>
      </c>
    </row>
    <row r="117" spans="2:21">
      <c r="B117" s="221">
        <v>0.375</v>
      </c>
      <c r="C117" t="s">
        <v>156</v>
      </c>
      <c r="D117">
        <v>1013</v>
      </c>
      <c r="E117">
        <v>828</v>
      </c>
      <c r="F117">
        <v>981</v>
      </c>
      <c r="G117">
        <v>858</v>
      </c>
      <c r="H117">
        <v>1126</v>
      </c>
      <c r="I117">
        <v>730</v>
      </c>
      <c r="J117">
        <v>989</v>
      </c>
      <c r="K117">
        <v>826</v>
      </c>
      <c r="L117">
        <v>788</v>
      </c>
      <c r="M117">
        <v>720</v>
      </c>
      <c r="N117">
        <v>1038</v>
      </c>
      <c r="O117">
        <v>1228</v>
      </c>
      <c r="P117">
        <v>1043</v>
      </c>
      <c r="Q117">
        <v>1082</v>
      </c>
      <c r="R117">
        <v>1040.2</v>
      </c>
      <c r="S117">
        <v>945.2</v>
      </c>
      <c r="T117">
        <v>996.9</v>
      </c>
      <c r="U117">
        <v>896</v>
      </c>
    </row>
    <row r="118" spans="2:21">
      <c r="B118" s="221">
        <v>0.41666666666666669</v>
      </c>
      <c r="C118" t="s">
        <v>156</v>
      </c>
      <c r="D118">
        <v>1009</v>
      </c>
      <c r="E118">
        <v>704</v>
      </c>
      <c r="F118">
        <v>886</v>
      </c>
      <c r="G118">
        <v>780</v>
      </c>
      <c r="H118">
        <v>966</v>
      </c>
      <c r="I118">
        <v>764</v>
      </c>
      <c r="J118">
        <v>1057</v>
      </c>
      <c r="K118">
        <v>900</v>
      </c>
      <c r="L118">
        <v>872</v>
      </c>
      <c r="M118">
        <v>904</v>
      </c>
      <c r="N118">
        <v>938</v>
      </c>
      <c r="O118">
        <v>1032</v>
      </c>
      <c r="P118">
        <v>921</v>
      </c>
      <c r="Q118">
        <v>984</v>
      </c>
      <c r="R118">
        <v>944</v>
      </c>
      <c r="S118">
        <v>852.8</v>
      </c>
      <c r="T118">
        <v>949.9</v>
      </c>
      <c r="U118">
        <v>866.9</v>
      </c>
    </row>
    <row r="119" spans="2:21">
      <c r="B119" s="221">
        <v>0.45833333333333331</v>
      </c>
      <c r="C119" t="s">
        <v>156</v>
      </c>
      <c r="D119">
        <v>920</v>
      </c>
      <c r="E119">
        <v>859</v>
      </c>
      <c r="F119">
        <v>858</v>
      </c>
      <c r="G119">
        <v>813</v>
      </c>
      <c r="H119">
        <v>964</v>
      </c>
      <c r="I119">
        <v>842</v>
      </c>
      <c r="J119">
        <v>1108</v>
      </c>
      <c r="K119">
        <v>1036</v>
      </c>
      <c r="L119">
        <v>944</v>
      </c>
      <c r="M119">
        <v>1190</v>
      </c>
      <c r="N119">
        <v>838</v>
      </c>
      <c r="O119">
        <v>965</v>
      </c>
      <c r="P119">
        <v>766</v>
      </c>
      <c r="Q119">
        <v>972</v>
      </c>
      <c r="R119">
        <v>869.2</v>
      </c>
      <c r="S119">
        <v>890.2</v>
      </c>
      <c r="T119">
        <v>914</v>
      </c>
      <c r="U119">
        <v>953.9</v>
      </c>
    </row>
    <row r="120" spans="2:21">
      <c r="B120" s="221">
        <v>0.5</v>
      </c>
      <c r="C120" t="s">
        <v>155</v>
      </c>
      <c r="D120">
        <v>938</v>
      </c>
      <c r="E120">
        <v>902</v>
      </c>
      <c r="F120">
        <v>860</v>
      </c>
      <c r="G120">
        <v>942</v>
      </c>
      <c r="H120">
        <v>906</v>
      </c>
      <c r="I120">
        <v>995</v>
      </c>
      <c r="J120">
        <v>1070</v>
      </c>
      <c r="K120">
        <v>1102</v>
      </c>
      <c r="L120">
        <v>958</v>
      </c>
      <c r="M120">
        <v>1195</v>
      </c>
      <c r="N120">
        <v>887</v>
      </c>
      <c r="O120">
        <v>1140</v>
      </c>
      <c r="P120">
        <v>826</v>
      </c>
      <c r="Q120">
        <v>1050</v>
      </c>
      <c r="R120">
        <v>883.4</v>
      </c>
      <c r="S120">
        <v>1005.8</v>
      </c>
      <c r="T120">
        <v>920.7</v>
      </c>
      <c r="U120">
        <v>1046.5999999999999</v>
      </c>
    </row>
    <row r="121" spans="2:21">
      <c r="B121" s="221">
        <v>4.1666666666666664E-2</v>
      </c>
      <c r="C121" t="s">
        <v>155</v>
      </c>
      <c r="D121">
        <v>881</v>
      </c>
      <c r="E121">
        <v>920</v>
      </c>
      <c r="F121">
        <v>858</v>
      </c>
      <c r="G121">
        <v>919</v>
      </c>
      <c r="H121">
        <v>956</v>
      </c>
      <c r="I121">
        <v>966</v>
      </c>
      <c r="J121">
        <v>992</v>
      </c>
      <c r="K121">
        <v>1126</v>
      </c>
      <c r="L121">
        <v>967</v>
      </c>
      <c r="M121">
        <v>1133</v>
      </c>
      <c r="N121">
        <v>852</v>
      </c>
      <c r="O121">
        <v>986</v>
      </c>
      <c r="P121">
        <v>866</v>
      </c>
      <c r="Q121">
        <v>1007</v>
      </c>
      <c r="R121">
        <v>882.6</v>
      </c>
      <c r="S121">
        <v>959.6</v>
      </c>
      <c r="T121">
        <v>910.3</v>
      </c>
      <c r="U121">
        <v>1008.1</v>
      </c>
    </row>
    <row r="122" spans="2:21">
      <c r="B122" s="221">
        <v>8.3333333333333329E-2</v>
      </c>
      <c r="C122" t="s">
        <v>155</v>
      </c>
      <c r="D122">
        <v>883</v>
      </c>
      <c r="E122">
        <v>1131</v>
      </c>
      <c r="F122">
        <v>883</v>
      </c>
      <c r="G122">
        <v>1098</v>
      </c>
      <c r="H122">
        <v>928</v>
      </c>
      <c r="I122">
        <v>1187</v>
      </c>
      <c r="J122">
        <v>1028</v>
      </c>
      <c r="K122">
        <v>1230</v>
      </c>
      <c r="L122">
        <v>934</v>
      </c>
      <c r="M122">
        <v>1167</v>
      </c>
      <c r="N122">
        <v>914</v>
      </c>
      <c r="O122">
        <v>1222</v>
      </c>
      <c r="P122">
        <v>962</v>
      </c>
      <c r="Q122">
        <v>1098</v>
      </c>
      <c r="R122">
        <v>914</v>
      </c>
      <c r="S122">
        <v>1147.2</v>
      </c>
      <c r="T122">
        <v>933.1</v>
      </c>
      <c r="U122">
        <v>1161.9000000000001</v>
      </c>
    </row>
    <row r="123" spans="2:21">
      <c r="B123" s="221">
        <v>0.125</v>
      </c>
      <c r="C123" t="s">
        <v>155</v>
      </c>
      <c r="D123">
        <v>936</v>
      </c>
      <c r="E123">
        <v>1204</v>
      </c>
      <c r="F123">
        <v>866</v>
      </c>
      <c r="G123">
        <v>1296</v>
      </c>
      <c r="H123">
        <v>858</v>
      </c>
      <c r="I123">
        <v>1162</v>
      </c>
      <c r="J123">
        <v>1010</v>
      </c>
      <c r="K123">
        <v>1348</v>
      </c>
      <c r="L123">
        <v>966</v>
      </c>
      <c r="M123">
        <v>1161</v>
      </c>
      <c r="N123">
        <v>921</v>
      </c>
      <c r="O123">
        <v>1282</v>
      </c>
      <c r="P123">
        <v>858</v>
      </c>
      <c r="Q123">
        <v>1180</v>
      </c>
      <c r="R123">
        <v>887.8</v>
      </c>
      <c r="S123">
        <v>1224.8</v>
      </c>
      <c r="T123">
        <v>916.4</v>
      </c>
      <c r="U123">
        <v>1233.3</v>
      </c>
    </row>
    <row r="124" spans="2:21">
      <c r="B124" s="221">
        <v>0.16666666666666666</v>
      </c>
      <c r="C124" t="s">
        <v>155</v>
      </c>
      <c r="D124">
        <v>980</v>
      </c>
      <c r="E124">
        <v>1243</v>
      </c>
      <c r="F124">
        <v>944</v>
      </c>
      <c r="G124">
        <v>1291</v>
      </c>
      <c r="H124">
        <v>878</v>
      </c>
      <c r="I124">
        <v>1262</v>
      </c>
      <c r="J124">
        <v>987</v>
      </c>
      <c r="K124">
        <v>1195</v>
      </c>
      <c r="L124">
        <v>906</v>
      </c>
      <c r="M124">
        <v>1236</v>
      </c>
      <c r="N124">
        <v>930</v>
      </c>
      <c r="O124">
        <v>1287</v>
      </c>
      <c r="P124">
        <v>966</v>
      </c>
      <c r="Q124">
        <v>1128</v>
      </c>
      <c r="R124">
        <v>939.6</v>
      </c>
      <c r="S124">
        <v>1242.2</v>
      </c>
      <c r="T124">
        <v>941.6</v>
      </c>
      <c r="U124">
        <v>1234.5999999999999</v>
      </c>
    </row>
    <row r="125" spans="2:21">
      <c r="B125" s="221">
        <v>0.20833333333333334</v>
      </c>
      <c r="C125" t="s">
        <v>155</v>
      </c>
      <c r="D125">
        <v>1013</v>
      </c>
      <c r="E125">
        <v>1276</v>
      </c>
      <c r="F125">
        <v>954</v>
      </c>
      <c r="G125">
        <v>1317</v>
      </c>
      <c r="H125">
        <v>924</v>
      </c>
      <c r="I125">
        <v>1365</v>
      </c>
      <c r="J125">
        <v>970</v>
      </c>
      <c r="K125">
        <v>1294</v>
      </c>
      <c r="L125">
        <v>930</v>
      </c>
      <c r="M125">
        <v>1252</v>
      </c>
      <c r="N125">
        <v>964</v>
      </c>
      <c r="O125">
        <v>1394</v>
      </c>
      <c r="P125">
        <v>1006</v>
      </c>
      <c r="Q125">
        <v>1078</v>
      </c>
      <c r="R125">
        <v>972.2</v>
      </c>
      <c r="S125">
        <v>1286</v>
      </c>
      <c r="T125">
        <v>965.9</v>
      </c>
      <c r="U125">
        <v>1282.3</v>
      </c>
    </row>
    <row r="126" spans="2:21">
      <c r="B126" s="221">
        <v>0.25</v>
      </c>
      <c r="C126" t="s">
        <v>155</v>
      </c>
      <c r="D126">
        <v>962</v>
      </c>
      <c r="E126">
        <v>1317</v>
      </c>
      <c r="F126">
        <v>962</v>
      </c>
      <c r="G126">
        <v>1248</v>
      </c>
      <c r="H126">
        <v>1044</v>
      </c>
      <c r="I126">
        <v>1268</v>
      </c>
      <c r="J126">
        <v>918</v>
      </c>
      <c r="K126">
        <v>1143</v>
      </c>
      <c r="L126">
        <v>774</v>
      </c>
      <c r="M126">
        <v>1205</v>
      </c>
      <c r="N126">
        <v>990</v>
      </c>
      <c r="O126">
        <v>987</v>
      </c>
      <c r="P126">
        <v>893</v>
      </c>
      <c r="Q126">
        <v>1060</v>
      </c>
      <c r="R126">
        <v>970.2</v>
      </c>
      <c r="S126">
        <v>1176</v>
      </c>
      <c r="T126">
        <v>934.7</v>
      </c>
      <c r="U126">
        <v>1175.4000000000001</v>
      </c>
    </row>
    <row r="127" spans="2:21">
      <c r="B127" s="221">
        <v>0.29166666666666669</v>
      </c>
      <c r="C127" t="s">
        <v>155</v>
      </c>
      <c r="D127">
        <v>746</v>
      </c>
      <c r="E127">
        <v>1022</v>
      </c>
      <c r="F127">
        <v>774</v>
      </c>
      <c r="G127">
        <v>953</v>
      </c>
      <c r="H127">
        <v>889</v>
      </c>
      <c r="I127">
        <v>1122</v>
      </c>
      <c r="J127">
        <v>795</v>
      </c>
      <c r="K127">
        <v>1096</v>
      </c>
      <c r="L127">
        <v>682</v>
      </c>
      <c r="M127">
        <v>1179</v>
      </c>
      <c r="N127">
        <v>685</v>
      </c>
      <c r="O127">
        <v>926</v>
      </c>
      <c r="P127">
        <v>720</v>
      </c>
      <c r="Q127">
        <v>781</v>
      </c>
      <c r="R127">
        <v>762.8</v>
      </c>
      <c r="S127">
        <v>960.8</v>
      </c>
      <c r="T127">
        <v>755.9</v>
      </c>
      <c r="U127">
        <v>1011.3</v>
      </c>
    </row>
    <row r="128" spans="2:21">
      <c r="B128" s="221">
        <v>0.33333333333333331</v>
      </c>
      <c r="C128" t="s">
        <v>155</v>
      </c>
      <c r="D128">
        <v>672</v>
      </c>
      <c r="E128">
        <v>782</v>
      </c>
      <c r="F128">
        <v>564</v>
      </c>
      <c r="G128">
        <v>796</v>
      </c>
      <c r="H128">
        <v>616</v>
      </c>
      <c r="I128">
        <v>860</v>
      </c>
      <c r="J128">
        <v>617</v>
      </c>
      <c r="K128">
        <v>925</v>
      </c>
      <c r="L128">
        <v>546</v>
      </c>
      <c r="M128">
        <v>891</v>
      </c>
      <c r="N128">
        <v>583</v>
      </c>
      <c r="O128">
        <v>728</v>
      </c>
      <c r="P128">
        <v>522</v>
      </c>
      <c r="Q128">
        <v>640</v>
      </c>
      <c r="R128">
        <v>591.4</v>
      </c>
      <c r="S128">
        <v>761.2</v>
      </c>
      <c r="T128">
        <v>588.6</v>
      </c>
      <c r="U128">
        <v>803.1</v>
      </c>
    </row>
    <row r="129" spans="2:21">
      <c r="B129" s="221">
        <v>0.375</v>
      </c>
      <c r="C129" t="s">
        <v>155</v>
      </c>
      <c r="D129">
        <v>496</v>
      </c>
      <c r="E129">
        <v>671</v>
      </c>
      <c r="F129">
        <v>515</v>
      </c>
      <c r="G129">
        <v>694</v>
      </c>
      <c r="H129">
        <v>554</v>
      </c>
      <c r="I129">
        <v>888</v>
      </c>
      <c r="J129">
        <v>571</v>
      </c>
      <c r="K129">
        <v>948</v>
      </c>
      <c r="L129">
        <v>404</v>
      </c>
      <c r="M129">
        <v>695</v>
      </c>
      <c r="N129">
        <v>429</v>
      </c>
      <c r="O129">
        <v>656</v>
      </c>
      <c r="P129">
        <v>474</v>
      </c>
      <c r="Q129">
        <v>630</v>
      </c>
      <c r="R129">
        <v>493.6</v>
      </c>
      <c r="S129">
        <v>707.8</v>
      </c>
      <c r="T129">
        <v>491.9</v>
      </c>
      <c r="U129">
        <v>740.3</v>
      </c>
    </row>
    <row r="130" spans="2:21">
      <c r="B130" s="221">
        <v>0.41666666666666669</v>
      </c>
      <c r="C130" t="s">
        <v>155</v>
      </c>
      <c r="D130">
        <v>352</v>
      </c>
      <c r="E130">
        <v>464</v>
      </c>
      <c r="F130">
        <v>354</v>
      </c>
      <c r="G130">
        <v>486</v>
      </c>
      <c r="H130">
        <v>475</v>
      </c>
      <c r="I130">
        <v>631</v>
      </c>
      <c r="J130">
        <v>437</v>
      </c>
      <c r="K130">
        <v>851</v>
      </c>
      <c r="L130">
        <v>250</v>
      </c>
      <c r="M130">
        <v>468</v>
      </c>
      <c r="N130">
        <v>285</v>
      </c>
      <c r="O130">
        <v>460</v>
      </c>
      <c r="P130">
        <v>306</v>
      </c>
      <c r="Q130">
        <v>431</v>
      </c>
      <c r="R130">
        <v>354.4</v>
      </c>
      <c r="S130">
        <v>494.4</v>
      </c>
      <c r="T130">
        <v>351.3</v>
      </c>
      <c r="U130">
        <v>541.6</v>
      </c>
    </row>
    <row r="131" spans="2:21">
      <c r="B131" s="221">
        <v>0.45833333333333331</v>
      </c>
      <c r="C131" t="s">
        <v>155</v>
      </c>
      <c r="D131">
        <v>174</v>
      </c>
      <c r="E131">
        <v>290</v>
      </c>
      <c r="F131">
        <v>176</v>
      </c>
      <c r="G131">
        <v>310</v>
      </c>
      <c r="H131">
        <v>333</v>
      </c>
      <c r="I131">
        <v>490</v>
      </c>
      <c r="J131">
        <v>346</v>
      </c>
      <c r="K131">
        <v>638</v>
      </c>
      <c r="L131">
        <v>154</v>
      </c>
      <c r="M131">
        <v>326</v>
      </c>
      <c r="N131">
        <v>138</v>
      </c>
      <c r="O131">
        <v>258</v>
      </c>
      <c r="P131">
        <v>162</v>
      </c>
      <c r="Q131">
        <v>255</v>
      </c>
      <c r="R131">
        <v>196.6</v>
      </c>
      <c r="S131">
        <v>320.60000000000002</v>
      </c>
      <c r="T131">
        <v>211.9</v>
      </c>
      <c r="U131">
        <v>366.7</v>
      </c>
    </row>
    <row r="133" spans="2:21">
      <c r="B133" t="s">
        <v>251</v>
      </c>
    </row>
    <row r="134" spans="2:21">
      <c r="D134" s="227" t="s">
        <v>242</v>
      </c>
      <c r="E134" s="227" t="s">
        <v>243</v>
      </c>
      <c r="F134" s="227" t="s">
        <v>244</v>
      </c>
      <c r="G134" s="227" t="s">
        <v>245</v>
      </c>
      <c r="H134" s="227" t="s">
        <v>246</v>
      </c>
      <c r="I134" s="227" t="s">
        <v>247</v>
      </c>
      <c r="J134" s="227" t="s">
        <v>241</v>
      </c>
      <c r="K134" s="227" t="s">
        <v>252</v>
      </c>
      <c r="L134" s="227" t="s">
        <v>253</v>
      </c>
    </row>
    <row r="135" spans="2:21">
      <c r="D135" s="219">
        <v>43035</v>
      </c>
      <c r="J135" s="219">
        <v>43041</v>
      </c>
    </row>
    <row r="136" spans="2:21">
      <c r="B136" s="221">
        <v>0.5</v>
      </c>
      <c r="C136" t="s">
        <v>156</v>
      </c>
      <c r="D136">
        <v>162</v>
      </c>
      <c r="E136">
        <v>258</v>
      </c>
      <c r="F136">
        <v>274</v>
      </c>
      <c r="G136">
        <v>102</v>
      </c>
      <c r="H136">
        <v>120</v>
      </c>
      <c r="I136">
        <v>172</v>
      </c>
      <c r="J136">
        <v>104</v>
      </c>
      <c r="K136">
        <v>132</v>
      </c>
      <c r="L136">
        <v>170.3</v>
      </c>
    </row>
    <row r="137" spans="2:21">
      <c r="B137" s="221">
        <v>4.1666666666666664E-2</v>
      </c>
      <c r="C137" t="s">
        <v>156</v>
      </c>
      <c r="D137">
        <v>100</v>
      </c>
      <c r="E137">
        <v>154</v>
      </c>
      <c r="F137">
        <v>172</v>
      </c>
      <c r="G137">
        <v>82</v>
      </c>
      <c r="H137">
        <v>75</v>
      </c>
      <c r="I137">
        <v>85</v>
      </c>
      <c r="J137">
        <v>72</v>
      </c>
      <c r="K137">
        <v>82.8</v>
      </c>
      <c r="L137">
        <v>105.7</v>
      </c>
    </row>
    <row r="138" spans="2:21">
      <c r="B138" s="221">
        <v>8.3333333333333329E-2</v>
      </c>
      <c r="C138" t="s">
        <v>156</v>
      </c>
      <c r="D138">
        <v>78</v>
      </c>
      <c r="E138">
        <v>132</v>
      </c>
      <c r="F138">
        <v>170</v>
      </c>
      <c r="G138">
        <v>55</v>
      </c>
      <c r="H138">
        <v>64</v>
      </c>
      <c r="I138">
        <v>74</v>
      </c>
      <c r="J138">
        <v>58</v>
      </c>
      <c r="K138">
        <v>65.8</v>
      </c>
      <c r="L138">
        <v>90.1</v>
      </c>
    </row>
    <row r="139" spans="2:21">
      <c r="B139" s="221">
        <v>0.125</v>
      </c>
      <c r="C139" t="s">
        <v>156</v>
      </c>
      <c r="D139">
        <v>68</v>
      </c>
      <c r="E139">
        <v>93</v>
      </c>
      <c r="F139">
        <v>99</v>
      </c>
      <c r="G139">
        <v>55</v>
      </c>
      <c r="H139">
        <v>65</v>
      </c>
      <c r="I139">
        <v>67</v>
      </c>
      <c r="J139">
        <v>52</v>
      </c>
      <c r="K139">
        <v>61.4</v>
      </c>
      <c r="L139">
        <v>71.3</v>
      </c>
    </row>
    <row r="140" spans="2:21">
      <c r="B140" s="221">
        <v>0.16666666666666666</v>
      </c>
      <c r="C140" t="s">
        <v>156</v>
      </c>
      <c r="D140">
        <v>124</v>
      </c>
      <c r="E140">
        <v>86</v>
      </c>
      <c r="F140">
        <v>86</v>
      </c>
      <c r="G140">
        <v>114</v>
      </c>
      <c r="H140">
        <v>107</v>
      </c>
      <c r="I140">
        <v>116</v>
      </c>
      <c r="J140">
        <v>120</v>
      </c>
      <c r="K140">
        <v>116.2</v>
      </c>
      <c r="L140">
        <v>107.6</v>
      </c>
    </row>
    <row r="141" spans="2:21">
      <c r="B141" s="221">
        <v>0.20833333333333334</v>
      </c>
      <c r="C141" t="s">
        <v>156</v>
      </c>
      <c r="D141">
        <v>341</v>
      </c>
      <c r="E141">
        <v>136</v>
      </c>
      <c r="F141">
        <v>101</v>
      </c>
      <c r="G141">
        <v>321</v>
      </c>
      <c r="H141">
        <v>348</v>
      </c>
      <c r="I141">
        <v>378</v>
      </c>
      <c r="J141">
        <v>324</v>
      </c>
      <c r="K141">
        <v>342.4</v>
      </c>
      <c r="L141">
        <v>278.39999999999998</v>
      </c>
    </row>
    <row r="142" spans="2:21">
      <c r="B142" s="221">
        <v>0.25</v>
      </c>
      <c r="C142" t="s">
        <v>156</v>
      </c>
      <c r="D142">
        <v>640</v>
      </c>
      <c r="E142">
        <v>272</v>
      </c>
      <c r="F142">
        <v>208</v>
      </c>
      <c r="G142">
        <v>530</v>
      </c>
      <c r="H142">
        <v>529</v>
      </c>
      <c r="I142">
        <v>500</v>
      </c>
      <c r="J142">
        <v>546</v>
      </c>
      <c r="K142">
        <v>549</v>
      </c>
      <c r="L142">
        <v>460.7</v>
      </c>
    </row>
    <row r="143" spans="2:21">
      <c r="B143" s="221">
        <v>0.29166666666666669</v>
      </c>
      <c r="C143" t="s">
        <v>156</v>
      </c>
      <c r="D143">
        <v>840</v>
      </c>
      <c r="E143">
        <v>489</v>
      </c>
      <c r="F143">
        <v>318</v>
      </c>
      <c r="G143">
        <v>670</v>
      </c>
      <c r="H143">
        <v>702</v>
      </c>
      <c r="I143">
        <v>638</v>
      </c>
      <c r="J143">
        <v>684</v>
      </c>
      <c r="K143">
        <v>706.8</v>
      </c>
      <c r="L143">
        <v>620.1</v>
      </c>
    </row>
    <row r="144" spans="2:21">
      <c r="B144" s="221">
        <v>0.33333333333333331</v>
      </c>
      <c r="C144" t="s">
        <v>156</v>
      </c>
      <c r="D144">
        <v>928</v>
      </c>
      <c r="E144">
        <v>764</v>
      </c>
      <c r="F144">
        <v>441</v>
      </c>
      <c r="G144">
        <v>774</v>
      </c>
      <c r="H144">
        <v>782</v>
      </c>
      <c r="I144">
        <v>802</v>
      </c>
      <c r="J144">
        <v>802</v>
      </c>
      <c r="K144">
        <v>817.6</v>
      </c>
      <c r="L144">
        <v>756.1</v>
      </c>
    </row>
    <row r="145" spans="2:12">
      <c r="B145" s="221">
        <v>0.375</v>
      </c>
      <c r="C145" t="s">
        <v>156</v>
      </c>
      <c r="D145">
        <v>946</v>
      </c>
      <c r="E145">
        <v>900</v>
      </c>
      <c r="F145">
        <v>709</v>
      </c>
      <c r="G145">
        <v>822</v>
      </c>
      <c r="H145">
        <v>847</v>
      </c>
      <c r="I145">
        <v>810</v>
      </c>
      <c r="J145">
        <v>734</v>
      </c>
      <c r="K145">
        <v>831.8</v>
      </c>
      <c r="L145">
        <v>824</v>
      </c>
    </row>
    <row r="146" spans="2:12">
      <c r="B146" s="221">
        <v>0.41666666666666669</v>
      </c>
      <c r="C146" t="s">
        <v>156</v>
      </c>
      <c r="D146">
        <v>878</v>
      </c>
      <c r="E146">
        <v>1064</v>
      </c>
      <c r="F146">
        <v>886</v>
      </c>
      <c r="G146">
        <v>820</v>
      </c>
      <c r="H146">
        <v>830</v>
      </c>
      <c r="I146">
        <v>870</v>
      </c>
      <c r="J146">
        <v>866</v>
      </c>
      <c r="K146">
        <v>852.8</v>
      </c>
      <c r="L146">
        <v>887.7</v>
      </c>
    </row>
    <row r="147" spans="2:12">
      <c r="B147" s="221">
        <v>0.45833333333333331</v>
      </c>
      <c r="C147" t="s">
        <v>156</v>
      </c>
      <c r="D147">
        <v>1028</v>
      </c>
      <c r="E147">
        <v>1170</v>
      </c>
      <c r="F147">
        <v>974</v>
      </c>
      <c r="G147">
        <v>845</v>
      </c>
      <c r="H147">
        <v>932</v>
      </c>
      <c r="I147">
        <v>902</v>
      </c>
      <c r="J147">
        <v>890</v>
      </c>
      <c r="K147">
        <v>919.4</v>
      </c>
      <c r="L147">
        <v>963</v>
      </c>
    </row>
    <row r="148" spans="2:12">
      <c r="B148" s="221">
        <v>0.5</v>
      </c>
      <c r="C148" t="s">
        <v>155</v>
      </c>
      <c r="D148">
        <v>1105</v>
      </c>
      <c r="E148">
        <v>1191</v>
      </c>
      <c r="F148">
        <v>1216</v>
      </c>
      <c r="G148">
        <v>896</v>
      </c>
      <c r="H148">
        <v>958</v>
      </c>
      <c r="I148">
        <v>994</v>
      </c>
      <c r="J148">
        <v>1068</v>
      </c>
      <c r="K148">
        <v>1004.2</v>
      </c>
      <c r="L148">
        <v>1061.0999999999999</v>
      </c>
    </row>
    <row r="149" spans="2:12">
      <c r="B149" s="221">
        <v>4.1666666666666664E-2</v>
      </c>
      <c r="C149" t="s">
        <v>155</v>
      </c>
      <c r="D149">
        <v>1119</v>
      </c>
      <c r="E149">
        <v>1314</v>
      </c>
      <c r="F149">
        <v>1261</v>
      </c>
      <c r="G149">
        <v>978</v>
      </c>
      <c r="H149">
        <v>1004</v>
      </c>
      <c r="I149">
        <v>986</v>
      </c>
      <c r="J149">
        <v>1029</v>
      </c>
      <c r="K149">
        <v>1023.2</v>
      </c>
      <c r="L149">
        <v>1098.7</v>
      </c>
    </row>
    <row r="150" spans="2:12">
      <c r="B150" s="221">
        <v>8.3333333333333329E-2</v>
      </c>
      <c r="C150" t="s">
        <v>155</v>
      </c>
      <c r="D150">
        <v>1246</v>
      </c>
      <c r="E150">
        <v>1322</v>
      </c>
      <c r="F150">
        <v>1110</v>
      </c>
      <c r="G150">
        <v>1138</v>
      </c>
      <c r="H150">
        <v>1131</v>
      </c>
      <c r="I150">
        <v>1126</v>
      </c>
      <c r="J150">
        <v>1138</v>
      </c>
      <c r="K150">
        <v>1155.8</v>
      </c>
      <c r="L150">
        <v>1173</v>
      </c>
    </row>
    <row r="151" spans="2:12">
      <c r="B151" s="221">
        <v>0.125</v>
      </c>
      <c r="C151" t="s">
        <v>155</v>
      </c>
      <c r="D151">
        <v>1524</v>
      </c>
      <c r="E151">
        <v>1334</v>
      </c>
      <c r="F151">
        <v>1048</v>
      </c>
      <c r="G151">
        <v>1314</v>
      </c>
      <c r="H151">
        <v>1336</v>
      </c>
      <c r="I151">
        <v>1283</v>
      </c>
      <c r="J151">
        <v>1361</v>
      </c>
      <c r="K151">
        <v>1363.6</v>
      </c>
      <c r="L151">
        <v>1314.3</v>
      </c>
    </row>
    <row r="152" spans="2:12">
      <c r="B152" s="221">
        <v>0.16666666666666666</v>
      </c>
      <c r="C152" t="s">
        <v>155</v>
      </c>
      <c r="D152">
        <v>1530</v>
      </c>
      <c r="E152">
        <v>1361</v>
      </c>
      <c r="F152">
        <v>1162</v>
      </c>
      <c r="G152">
        <v>1276</v>
      </c>
      <c r="H152">
        <v>1385</v>
      </c>
      <c r="I152">
        <v>1322</v>
      </c>
      <c r="J152">
        <v>1372</v>
      </c>
      <c r="K152">
        <v>1377</v>
      </c>
      <c r="L152">
        <v>1344</v>
      </c>
    </row>
    <row r="153" spans="2:12">
      <c r="B153" s="221">
        <v>0.20833333333333334</v>
      </c>
      <c r="C153" t="s">
        <v>155</v>
      </c>
      <c r="D153">
        <v>1522</v>
      </c>
      <c r="E153">
        <v>1402</v>
      </c>
      <c r="F153">
        <v>1208</v>
      </c>
      <c r="G153">
        <v>1412</v>
      </c>
      <c r="H153">
        <v>1418</v>
      </c>
      <c r="I153">
        <v>1400</v>
      </c>
      <c r="J153">
        <v>1422</v>
      </c>
      <c r="K153">
        <v>1434.8</v>
      </c>
      <c r="L153">
        <v>1397.7</v>
      </c>
    </row>
    <row r="154" spans="2:12">
      <c r="B154" s="221">
        <v>0.25</v>
      </c>
      <c r="C154" t="s">
        <v>155</v>
      </c>
      <c r="D154">
        <v>1350</v>
      </c>
      <c r="E154">
        <v>1358</v>
      </c>
      <c r="F154">
        <v>1086</v>
      </c>
      <c r="G154">
        <v>1190</v>
      </c>
      <c r="H154">
        <v>1182</v>
      </c>
      <c r="I154">
        <v>1270</v>
      </c>
      <c r="J154">
        <v>1258</v>
      </c>
      <c r="K154">
        <v>1250</v>
      </c>
      <c r="L154">
        <v>1242</v>
      </c>
    </row>
    <row r="155" spans="2:12">
      <c r="B155" s="221">
        <v>0.29166666666666669</v>
      </c>
      <c r="C155" t="s">
        <v>155</v>
      </c>
      <c r="D155">
        <v>1026</v>
      </c>
      <c r="E155">
        <v>1098</v>
      </c>
      <c r="F155">
        <v>838</v>
      </c>
      <c r="G155">
        <v>926</v>
      </c>
      <c r="H155">
        <v>808</v>
      </c>
      <c r="I155">
        <v>894</v>
      </c>
      <c r="J155">
        <v>892</v>
      </c>
      <c r="K155">
        <v>909.2</v>
      </c>
      <c r="L155">
        <v>926</v>
      </c>
    </row>
    <row r="156" spans="2:12">
      <c r="B156" s="221">
        <v>0.33333333333333331</v>
      </c>
      <c r="C156" t="s">
        <v>155</v>
      </c>
      <c r="D156">
        <v>904</v>
      </c>
      <c r="E156">
        <v>904</v>
      </c>
      <c r="F156">
        <v>648</v>
      </c>
      <c r="G156">
        <v>636</v>
      </c>
      <c r="H156">
        <v>766</v>
      </c>
      <c r="I156">
        <v>748</v>
      </c>
      <c r="J156">
        <v>724</v>
      </c>
      <c r="K156">
        <v>755.6</v>
      </c>
      <c r="L156">
        <v>761.4</v>
      </c>
    </row>
    <row r="157" spans="2:12">
      <c r="B157" s="221">
        <v>0.375</v>
      </c>
      <c r="C157" t="s">
        <v>155</v>
      </c>
      <c r="D157">
        <v>746</v>
      </c>
      <c r="E157">
        <v>734</v>
      </c>
      <c r="F157">
        <v>510</v>
      </c>
      <c r="G157">
        <v>544</v>
      </c>
      <c r="H157">
        <v>710</v>
      </c>
      <c r="I157">
        <v>614</v>
      </c>
      <c r="J157">
        <v>672</v>
      </c>
      <c r="K157">
        <v>657.2</v>
      </c>
      <c r="L157">
        <v>647.1</v>
      </c>
    </row>
    <row r="158" spans="2:12">
      <c r="B158" s="221">
        <v>0.41666666666666669</v>
      </c>
      <c r="C158" t="s">
        <v>155</v>
      </c>
      <c r="D158">
        <v>515</v>
      </c>
      <c r="E158">
        <v>621</v>
      </c>
      <c r="F158">
        <v>387</v>
      </c>
      <c r="G158">
        <v>422</v>
      </c>
      <c r="H158">
        <v>407</v>
      </c>
      <c r="I158">
        <v>401</v>
      </c>
      <c r="J158">
        <v>431</v>
      </c>
      <c r="K158">
        <v>435.2</v>
      </c>
      <c r="L158">
        <v>454.9</v>
      </c>
    </row>
    <row r="159" spans="2:12">
      <c r="B159" s="221">
        <v>0.45833333333333331</v>
      </c>
      <c r="C159" t="s">
        <v>155</v>
      </c>
      <c r="D159">
        <v>376</v>
      </c>
      <c r="E159">
        <v>396</v>
      </c>
      <c r="F159">
        <v>202</v>
      </c>
      <c r="G159">
        <v>210</v>
      </c>
      <c r="H159">
        <v>244</v>
      </c>
      <c r="I159">
        <v>202</v>
      </c>
      <c r="J159">
        <v>286</v>
      </c>
      <c r="K159">
        <v>263.60000000000002</v>
      </c>
      <c r="L159">
        <v>273.7</v>
      </c>
    </row>
    <row r="161" spans="2:12">
      <c r="B161" t="s">
        <v>230</v>
      </c>
    </row>
    <row r="162" spans="2:12">
      <c r="D162" s="227" t="s">
        <v>247</v>
      </c>
      <c r="E162" s="227" t="s">
        <v>243</v>
      </c>
      <c r="F162" s="227" t="s">
        <v>244</v>
      </c>
      <c r="G162" s="227" t="s">
        <v>245</v>
      </c>
      <c r="H162" s="227" t="s">
        <v>246</v>
      </c>
      <c r="I162" s="227" t="s">
        <v>247</v>
      </c>
      <c r="J162" s="227" t="s">
        <v>241</v>
      </c>
      <c r="K162" s="227" t="s">
        <v>252</v>
      </c>
      <c r="L162" s="227" t="s">
        <v>253</v>
      </c>
    </row>
    <row r="163" spans="2:12">
      <c r="D163" s="219">
        <v>43026</v>
      </c>
      <c r="J163" s="219">
        <v>43041</v>
      </c>
    </row>
    <row r="164" spans="2:12">
      <c r="B164" s="221">
        <v>0.5</v>
      </c>
      <c r="C164" t="s">
        <v>156</v>
      </c>
      <c r="D164">
        <v>113</v>
      </c>
      <c r="E164">
        <v>146</v>
      </c>
      <c r="F164">
        <v>170</v>
      </c>
      <c r="G164">
        <v>272</v>
      </c>
      <c r="H164">
        <v>280</v>
      </c>
      <c r="I164">
        <v>122</v>
      </c>
      <c r="J164">
        <v>136</v>
      </c>
      <c r="K164">
        <v>137.4</v>
      </c>
      <c r="L164">
        <v>177</v>
      </c>
    </row>
    <row r="165" spans="2:12">
      <c r="B165" s="221">
        <v>4.1666666666666664E-2</v>
      </c>
      <c r="C165" t="s">
        <v>156</v>
      </c>
      <c r="D165">
        <v>49</v>
      </c>
      <c r="E165">
        <v>75</v>
      </c>
      <c r="F165">
        <v>85</v>
      </c>
      <c r="G165">
        <v>139</v>
      </c>
      <c r="H165">
        <v>164</v>
      </c>
      <c r="I165">
        <v>82</v>
      </c>
      <c r="J165">
        <v>62</v>
      </c>
      <c r="K165">
        <v>70.599999999999994</v>
      </c>
      <c r="L165">
        <v>93.7</v>
      </c>
    </row>
    <row r="166" spans="2:12">
      <c r="B166" s="221">
        <v>8.3333333333333329E-2</v>
      </c>
      <c r="C166" t="s">
        <v>156</v>
      </c>
      <c r="D166">
        <v>72</v>
      </c>
      <c r="E166">
        <v>84</v>
      </c>
      <c r="F166">
        <v>66</v>
      </c>
      <c r="G166">
        <v>119</v>
      </c>
      <c r="H166">
        <v>163</v>
      </c>
      <c r="I166">
        <v>68</v>
      </c>
      <c r="J166">
        <v>72</v>
      </c>
      <c r="K166">
        <v>72.400000000000006</v>
      </c>
      <c r="L166">
        <v>92</v>
      </c>
    </row>
    <row r="167" spans="2:12">
      <c r="B167" s="221">
        <v>0.125</v>
      </c>
      <c r="C167" t="s">
        <v>156</v>
      </c>
      <c r="D167">
        <v>58</v>
      </c>
      <c r="E167">
        <v>52</v>
      </c>
      <c r="F167">
        <v>85</v>
      </c>
      <c r="G167">
        <v>86</v>
      </c>
      <c r="H167">
        <v>96</v>
      </c>
      <c r="I167">
        <v>69</v>
      </c>
      <c r="J167">
        <v>62</v>
      </c>
      <c r="K167">
        <v>65.2</v>
      </c>
      <c r="L167">
        <v>72.599999999999994</v>
      </c>
    </row>
    <row r="168" spans="2:12">
      <c r="B168" s="221">
        <v>0.16666666666666666</v>
      </c>
      <c r="C168" t="s">
        <v>156</v>
      </c>
      <c r="D168">
        <v>178</v>
      </c>
      <c r="E168">
        <v>168</v>
      </c>
      <c r="F168">
        <v>162</v>
      </c>
      <c r="G168">
        <v>100</v>
      </c>
      <c r="H168">
        <v>60</v>
      </c>
      <c r="I168">
        <v>206</v>
      </c>
      <c r="J168">
        <v>176</v>
      </c>
      <c r="K168">
        <v>178</v>
      </c>
      <c r="L168">
        <v>150</v>
      </c>
    </row>
    <row r="169" spans="2:12">
      <c r="B169" s="221">
        <v>0.20833333333333334</v>
      </c>
      <c r="C169" t="s">
        <v>156</v>
      </c>
      <c r="D169">
        <v>565</v>
      </c>
      <c r="E169">
        <v>591</v>
      </c>
      <c r="F169">
        <v>541</v>
      </c>
      <c r="G169">
        <v>175</v>
      </c>
      <c r="H169">
        <v>110</v>
      </c>
      <c r="I169">
        <v>574</v>
      </c>
      <c r="J169">
        <v>622</v>
      </c>
      <c r="K169">
        <v>578.6</v>
      </c>
      <c r="L169">
        <v>454</v>
      </c>
    </row>
    <row r="170" spans="2:12">
      <c r="B170" s="221">
        <v>0.25</v>
      </c>
      <c r="C170" t="s">
        <v>156</v>
      </c>
      <c r="D170">
        <v>1207</v>
      </c>
      <c r="E170">
        <v>1242</v>
      </c>
      <c r="F170">
        <v>1174</v>
      </c>
      <c r="G170">
        <v>334</v>
      </c>
      <c r="H170">
        <v>222</v>
      </c>
      <c r="I170">
        <v>1218</v>
      </c>
      <c r="J170">
        <v>1210</v>
      </c>
      <c r="K170">
        <v>1210.2</v>
      </c>
      <c r="L170">
        <v>943.9</v>
      </c>
    </row>
    <row r="171" spans="2:12">
      <c r="B171" s="221">
        <v>0.29166666666666669</v>
      </c>
      <c r="C171" t="s">
        <v>156</v>
      </c>
      <c r="D171">
        <v>1352</v>
      </c>
      <c r="E171">
        <v>1346</v>
      </c>
      <c r="F171">
        <v>1379</v>
      </c>
      <c r="G171">
        <v>533</v>
      </c>
      <c r="H171">
        <v>322</v>
      </c>
      <c r="I171">
        <v>1399</v>
      </c>
      <c r="J171">
        <v>1366</v>
      </c>
      <c r="K171">
        <v>1368.4</v>
      </c>
      <c r="L171">
        <v>1099.5999999999999</v>
      </c>
    </row>
    <row r="172" spans="2:12">
      <c r="B172" s="221">
        <v>0.33333333333333331</v>
      </c>
      <c r="C172" t="s">
        <v>156</v>
      </c>
      <c r="D172">
        <v>1422</v>
      </c>
      <c r="E172">
        <v>1456</v>
      </c>
      <c r="F172">
        <v>1405</v>
      </c>
      <c r="G172">
        <v>836</v>
      </c>
      <c r="H172">
        <v>538</v>
      </c>
      <c r="I172">
        <v>1576</v>
      </c>
      <c r="J172">
        <v>1508</v>
      </c>
      <c r="K172">
        <v>1473.4</v>
      </c>
      <c r="L172">
        <v>1248.7</v>
      </c>
    </row>
    <row r="173" spans="2:12">
      <c r="B173" s="221">
        <v>0.375</v>
      </c>
      <c r="C173" t="s">
        <v>156</v>
      </c>
      <c r="D173">
        <v>1189</v>
      </c>
      <c r="E173">
        <v>1190</v>
      </c>
      <c r="F173">
        <v>1044</v>
      </c>
      <c r="G173">
        <v>1001</v>
      </c>
      <c r="H173">
        <v>845</v>
      </c>
      <c r="I173">
        <v>1274</v>
      </c>
      <c r="J173">
        <v>1164</v>
      </c>
      <c r="K173">
        <v>1172.2</v>
      </c>
      <c r="L173">
        <v>1101</v>
      </c>
    </row>
    <row r="174" spans="2:12">
      <c r="B174" s="221">
        <v>0.41666666666666669</v>
      </c>
      <c r="C174" t="s">
        <v>156</v>
      </c>
      <c r="D174">
        <v>1034</v>
      </c>
      <c r="E174">
        <v>1110</v>
      </c>
      <c r="F174">
        <v>1160</v>
      </c>
      <c r="G174">
        <v>1058</v>
      </c>
      <c r="H174">
        <v>1011</v>
      </c>
      <c r="I174">
        <v>1197</v>
      </c>
      <c r="J174">
        <v>1081</v>
      </c>
      <c r="K174">
        <v>1116.4000000000001</v>
      </c>
      <c r="L174">
        <v>1093</v>
      </c>
    </row>
    <row r="175" spans="2:12">
      <c r="B175" s="221">
        <v>0.45833333333333331</v>
      </c>
      <c r="C175" t="s">
        <v>156</v>
      </c>
      <c r="D175">
        <v>870</v>
      </c>
      <c r="E175">
        <v>978</v>
      </c>
      <c r="F175">
        <v>994</v>
      </c>
      <c r="G175">
        <v>1034</v>
      </c>
      <c r="H175">
        <v>1082</v>
      </c>
      <c r="I175">
        <v>1009</v>
      </c>
      <c r="J175">
        <v>1008</v>
      </c>
      <c r="K175">
        <v>971.8</v>
      </c>
      <c r="L175">
        <v>996.4</v>
      </c>
    </row>
    <row r="176" spans="2:12">
      <c r="B176" s="221">
        <v>0.5</v>
      </c>
      <c r="C176" t="s">
        <v>155</v>
      </c>
      <c r="D176">
        <v>912</v>
      </c>
      <c r="E176">
        <v>998</v>
      </c>
      <c r="F176">
        <v>1005</v>
      </c>
      <c r="G176">
        <v>1003</v>
      </c>
      <c r="H176">
        <v>1225</v>
      </c>
      <c r="I176">
        <v>1050</v>
      </c>
      <c r="J176">
        <v>1088</v>
      </c>
      <c r="K176">
        <v>1010.6</v>
      </c>
      <c r="L176">
        <v>1040.0999999999999</v>
      </c>
    </row>
    <row r="177" spans="2:21">
      <c r="B177" s="221">
        <v>4.1666666666666664E-2</v>
      </c>
      <c r="C177" t="s">
        <v>155</v>
      </c>
      <c r="D177">
        <v>870</v>
      </c>
      <c r="E177">
        <v>934</v>
      </c>
      <c r="F177">
        <v>980</v>
      </c>
      <c r="G177">
        <v>1091</v>
      </c>
      <c r="H177">
        <v>1109</v>
      </c>
      <c r="I177">
        <v>1026</v>
      </c>
      <c r="J177">
        <v>870</v>
      </c>
      <c r="K177">
        <v>936</v>
      </c>
      <c r="L177">
        <v>982.9</v>
      </c>
    </row>
    <row r="178" spans="2:21">
      <c r="B178" s="221">
        <v>8.3333333333333329E-2</v>
      </c>
      <c r="C178" t="s">
        <v>155</v>
      </c>
      <c r="D178">
        <v>944</v>
      </c>
      <c r="E178">
        <v>937</v>
      </c>
      <c r="F178">
        <v>1120</v>
      </c>
      <c r="G178">
        <v>1016</v>
      </c>
      <c r="H178">
        <v>1092</v>
      </c>
      <c r="I178">
        <v>1090</v>
      </c>
      <c r="J178">
        <v>1078</v>
      </c>
      <c r="K178">
        <v>1033.8</v>
      </c>
      <c r="L178">
        <v>1039.5999999999999</v>
      </c>
    </row>
    <row r="179" spans="2:21">
      <c r="B179" s="221">
        <v>0.125</v>
      </c>
      <c r="C179" t="s">
        <v>155</v>
      </c>
      <c r="D179">
        <v>936</v>
      </c>
      <c r="E179">
        <v>1012</v>
      </c>
      <c r="F179">
        <v>1030</v>
      </c>
      <c r="G179">
        <v>977</v>
      </c>
      <c r="H179">
        <v>1006</v>
      </c>
      <c r="I179">
        <v>1043</v>
      </c>
      <c r="J179">
        <v>1096</v>
      </c>
      <c r="K179">
        <v>1023.4</v>
      </c>
      <c r="L179">
        <v>1014.3</v>
      </c>
    </row>
    <row r="180" spans="2:21">
      <c r="B180" s="221">
        <v>0.16666666666666666</v>
      </c>
      <c r="C180" t="s">
        <v>155</v>
      </c>
      <c r="D180">
        <v>1004</v>
      </c>
      <c r="E180">
        <v>918</v>
      </c>
      <c r="F180">
        <v>1111</v>
      </c>
      <c r="G180">
        <v>994</v>
      </c>
      <c r="H180">
        <v>1021</v>
      </c>
      <c r="I180">
        <v>1147</v>
      </c>
      <c r="J180">
        <v>1119</v>
      </c>
      <c r="K180">
        <v>1059.8</v>
      </c>
      <c r="L180">
        <v>1044.9000000000001</v>
      </c>
    </row>
    <row r="181" spans="2:21">
      <c r="B181" s="221">
        <v>0.20833333333333334</v>
      </c>
      <c r="C181" t="s">
        <v>155</v>
      </c>
      <c r="D181">
        <v>1011</v>
      </c>
      <c r="E181">
        <v>979</v>
      </c>
      <c r="F181">
        <v>1124</v>
      </c>
      <c r="G181">
        <v>848</v>
      </c>
      <c r="H181">
        <v>1134</v>
      </c>
      <c r="I181">
        <v>1194</v>
      </c>
      <c r="J181">
        <v>1192</v>
      </c>
      <c r="K181">
        <v>1100</v>
      </c>
      <c r="L181">
        <v>1068.9000000000001</v>
      </c>
    </row>
    <row r="182" spans="2:21">
      <c r="B182" s="221">
        <v>0.25</v>
      </c>
      <c r="C182" t="s">
        <v>155</v>
      </c>
      <c r="D182">
        <v>1036</v>
      </c>
      <c r="E182">
        <v>1010</v>
      </c>
      <c r="F182">
        <v>1086</v>
      </c>
      <c r="G182">
        <v>848</v>
      </c>
      <c r="H182">
        <v>971</v>
      </c>
      <c r="I182">
        <v>1196</v>
      </c>
      <c r="J182">
        <v>1114</v>
      </c>
      <c r="K182">
        <v>1088.4000000000001</v>
      </c>
      <c r="L182">
        <v>1037.3</v>
      </c>
    </row>
    <row r="183" spans="2:21">
      <c r="B183" s="221">
        <v>0.29166666666666669</v>
      </c>
      <c r="C183" t="s">
        <v>155</v>
      </c>
      <c r="D183">
        <v>864</v>
      </c>
      <c r="E183">
        <v>812</v>
      </c>
      <c r="F183">
        <v>928</v>
      </c>
      <c r="G183">
        <v>710</v>
      </c>
      <c r="H183">
        <v>764</v>
      </c>
      <c r="I183">
        <v>870</v>
      </c>
      <c r="J183">
        <v>845</v>
      </c>
      <c r="K183">
        <v>863.8</v>
      </c>
      <c r="L183">
        <v>827.6</v>
      </c>
    </row>
    <row r="184" spans="2:21">
      <c r="B184" s="221">
        <v>0.33333333333333331</v>
      </c>
      <c r="C184" t="s">
        <v>155</v>
      </c>
      <c r="D184">
        <v>646</v>
      </c>
      <c r="E184">
        <v>647</v>
      </c>
      <c r="F184">
        <v>696</v>
      </c>
      <c r="G184">
        <v>696</v>
      </c>
      <c r="H184">
        <v>644</v>
      </c>
      <c r="I184">
        <v>632</v>
      </c>
      <c r="J184">
        <v>712</v>
      </c>
      <c r="K184">
        <v>666.6</v>
      </c>
      <c r="L184">
        <v>667.6</v>
      </c>
    </row>
    <row r="185" spans="2:21">
      <c r="B185" s="221">
        <v>0.375</v>
      </c>
      <c r="C185" t="s">
        <v>155</v>
      </c>
      <c r="D185">
        <v>588</v>
      </c>
      <c r="E185">
        <v>666</v>
      </c>
      <c r="F185">
        <v>656</v>
      </c>
      <c r="G185">
        <v>666</v>
      </c>
      <c r="H185">
        <v>484</v>
      </c>
      <c r="I185">
        <v>545</v>
      </c>
      <c r="J185">
        <v>582</v>
      </c>
      <c r="K185">
        <v>607.4</v>
      </c>
      <c r="L185">
        <v>598.1</v>
      </c>
    </row>
    <row r="186" spans="2:21">
      <c r="B186" s="221">
        <v>0.41666666666666669</v>
      </c>
      <c r="C186" t="s">
        <v>155</v>
      </c>
      <c r="D186">
        <v>424</v>
      </c>
      <c r="E186">
        <v>414</v>
      </c>
      <c r="F186">
        <v>540</v>
      </c>
      <c r="G186">
        <v>542</v>
      </c>
      <c r="H186">
        <v>334</v>
      </c>
      <c r="I186">
        <v>361</v>
      </c>
      <c r="J186">
        <v>386</v>
      </c>
      <c r="K186">
        <v>425</v>
      </c>
      <c r="L186">
        <v>428.7</v>
      </c>
    </row>
    <row r="187" spans="2:21">
      <c r="B187" s="221">
        <v>0.45833333333333331</v>
      </c>
      <c r="C187" t="s">
        <v>155</v>
      </c>
      <c r="D187">
        <v>225</v>
      </c>
      <c r="E187">
        <v>254</v>
      </c>
      <c r="F187">
        <v>414</v>
      </c>
      <c r="G187">
        <v>433</v>
      </c>
      <c r="H187">
        <v>221</v>
      </c>
      <c r="I187">
        <v>204</v>
      </c>
      <c r="J187">
        <v>239</v>
      </c>
      <c r="K187">
        <v>267.2</v>
      </c>
      <c r="L187">
        <v>284.3</v>
      </c>
    </row>
    <row r="189" spans="2:21" ht="15" thickBot="1">
      <c r="B189" s="156"/>
      <c r="C189" s="156"/>
      <c r="D189" s="156"/>
      <c r="E189" s="156"/>
      <c r="F189" s="156"/>
      <c r="G189" s="156"/>
      <c r="H189" s="156"/>
      <c r="I189" s="156"/>
      <c r="J189" s="156"/>
      <c r="K189" s="156"/>
      <c r="L189" s="156"/>
      <c r="M189" s="156"/>
      <c r="N189" s="156"/>
      <c r="O189" s="156"/>
      <c r="P189" s="156"/>
      <c r="Q189" s="156"/>
      <c r="R189" s="156"/>
      <c r="S189" s="156"/>
      <c r="T189" s="156"/>
    </row>
    <row r="190" spans="2:21">
      <c r="B190" s="8" t="s">
        <v>254</v>
      </c>
    </row>
    <row r="191" spans="2:21">
      <c r="D191" s="430" t="s">
        <v>226</v>
      </c>
      <c r="E191" s="430"/>
      <c r="F191" s="430"/>
      <c r="G191" s="430"/>
      <c r="H191" s="430"/>
      <c r="I191" s="430"/>
      <c r="J191" s="430"/>
      <c r="K191" s="430"/>
      <c r="L191" s="430"/>
      <c r="M191" s="430"/>
    </row>
    <row r="192" spans="2:21" ht="48" customHeight="1">
      <c r="D192" s="439" t="s">
        <v>254</v>
      </c>
      <c r="E192" s="439"/>
      <c r="F192" s="440"/>
      <c r="G192" s="440"/>
      <c r="H192" s="440"/>
      <c r="I192" s="440"/>
      <c r="J192" s="440"/>
      <c r="K192" s="440"/>
      <c r="L192" s="440"/>
      <c r="M192" s="440"/>
      <c r="N192" s="199" t="s">
        <v>231</v>
      </c>
      <c r="O192" s="200"/>
      <c r="P192" s="199" t="s">
        <v>255</v>
      </c>
      <c r="Q192" s="199" t="s">
        <v>256</v>
      </c>
      <c r="R192" s="428" t="s">
        <v>234</v>
      </c>
      <c r="S192" s="428"/>
      <c r="T192" s="428"/>
      <c r="U192" s="201"/>
    </row>
    <row r="193" spans="2:21" ht="22.5" customHeight="1">
      <c r="B193" s="8" t="s">
        <v>257</v>
      </c>
      <c r="D193" s="202"/>
      <c r="E193" s="202"/>
      <c r="F193" s="203"/>
      <c r="G193" s="203"/>
      <c r="H193" s="203"/>
      <c r="I193" s="203"/>
      <c r="J193" s="203"/>
      <c r="K193" s="203"/>
      <c r="L193" s="203"/>
      <c r="M193" s="203"/>
      <c r="N193" s="203"/>
      <c r="O193" s="204"/>
      <c r="P193" s="205">
        <f>SUM(P195:P218)</f>
        <v>14.920909460103829</v>
      </c>
      <c r="Q193" s="205">
        <f>SUM(Q195:Q218)</f>
        <v>9.261902889023812</v>
      </c>
      <c r="R193" s="207"/>
      <c r="S193" s="207"/>
      <c r="T193" s="207"/>
      <c r="U193" s="201"/>
    </row>
    <row r="194" spans="2:21">
      <c r="B194" s="219"/>
      <c r="D194" s="220" t="s">
        <v>238</v>
      </c>
      <c r="E194" s="220" t="s">
        <v>239</v>
      </c>
      <c r="F194" s="220"/>
      <c r="G194" s="220"/>
      <c r="H194" s="220"/>
      <c r="I194" s="220"/>
    </row>
    <row r="195" spans="2:21">
      <c r="B195" s="221">
        <v>0.5</v>
      </c>
      <c r="C195" t="s">
        <v>156</v>
      </c>
      <c r="D195" s="220">
        <v>149.30000000000001</v>
      </c>
      <c r="E195" s="220">
        <v>167.7</v>
      </c>
      <c r="N195" s="114">
        <f t="shared" ref="N195:N218" si="7">AVERAGE(L195,D195:J195)</f>
        <v>158.5</v>
      </c>
      <c r="O195" s="448" t="s">
        <v>156</v>
      </c>
      <c r="P195" s="222">
        <f t="shared" ref="P195:P206" si="8">N195/$N$203</f>
        <v>0.15321411309811503</v>
      </c>
      <c r="Q195" s="222">
        <v>0</v>
      </c>
    </row>
    <row r="196" spans="2:21">
      <c r="B196" s="221">
        <v>4.1666666666666664E-2</v>
      </c>
      <c r="C196" t="s">
        <v>156</v>
      </c>
      <c r="D196" s="220">
        <v>91.9</v>
      </c>
      <c r="E196" s="220">
        <v>109.4</v>
      </c>
      <c r="N196" s="114">
        <f t="shared" si="7"/>
        <v>100.65</v>
      </c>
      <c r="O196" s="448"/>
      <c r="P196" s="222">
        <f t="shared" si="8"/>
        <v>9.729337844369261E-2</v>
      </c>
      <c r="Q196" s="222">
        <v>0</v>
      </c>
    </row>
    <row r="197" spans="2:21">
      <c r="B197" s="221">
        <v>8.3333333333333329E-2</v>
      </c>
      <c r="C197" t="s">
        <v>156</v>
      </c>
      <c r="D197" s="220">
        <v>89.3</v>
      </c>
      <c r="E197" s="220">
        <v>96.7</v>
      </c>
      <c r="N197" s="114">
        <f t="shared" si="7"/>
        <v>93</v>
      </c>
      <c r="O197" s="448"/>
      <c r="P197" s="222">
        <f t="shared" si="8"/>
        <v>8.9898501691638474E-2</v>
      </c>
      <c r="Q197" s="222">
        <v>0</v>
      </c>
    </row>
    <row r="198" spans="2:21">
      <c r="B198" s="221">
        <v>0.125</v>
      </c>
      <c r="C198" t="s">
        <v>156</v>
      </c>
      <c r="D198">
        <v>65.7</v>
      </c>
      <c r="E198">
        <v>69.099999999999994</v>
      </c>
      <c r="N198" s="114">
        <f t="shared" si="7"/>
        <v>67.400000000000006</v>
      </c>
      <c r="O198" s="448"/>
      <c r="P198" s="222">
        <f t="shared" si="8"/>
        <v>6.5152247462542293E-2</v>
      </c>
      <c r="Q198" s="222">
        <v>0</v>
      </c>
    </row>
    <row r="199" spans="2:21">
      <c r="B199" s="221">
        <v>0.16666666666666666</v>
      </c>
      <c r="C199" t="s">
        <v>156</v>
      </c>
      <c r="D199">
        <v>110.7</v>
      </c>
      <c r="E199">
        <v>127.1</v>
      </c>
      <c r="N199" s="114">
        <f t="shared" si="7"/>
        <v>118.9</v>
      </c>
      <c r="O199" s="448"/>
      <c r="P199" s="222">
        <f t="shared" si="8"/>
        <v>0.11493475108748188</v>
      </c>
      <c r="Q199" s="222">
        <v>0</v>
      </c>
    </row>
    <row r="200" spans="2:21">
      <c r="B200" s="221">
        <v>0.20833333333333334</v>
      </c>
      <c r="C200" t="s">
        <v>156</v>
      </c>
      <c r="D200">
        <v>294.7</v>
      </c>
      <c r="E200">
        <v>306.3</v>
      </c>
      <c r="N200" s="114">
        <f t="shared" si="7"/>
        <v>300.5</v>
      </c>
      <c r="O200" s="448"/>
      <c r="P200" s="222">
        <f t="shared" si="8"/>
        <v>0.29047849202513293</v>
      </c>
      <c r="Q200" s="222">
        <v>0</v>
      </c>
    </row>
    <row r="201" spans="2:21">
      <c r="B201" s="221">
        <v>0.25</v>
      </c>
      <c r="C201" t="s">
        <v>156</v>
      </c>
      <c r="D201">
        <v>866.1</v>
      </c>
      <c r="E201">
        <v>530.29999999999995</v>
      </c>
      <c r="N201" s="114">
        <f t="shared" si="7"/>
        <v>698.2</v>
      </c>
      <c r="O201" s="448"/>
      <c r="P201" s="222">
        <f t="shared" si="8"/>
        <v>0.67491541807636546</v>
      </c>
      <c r="Q201" s="222">
        <v>0</v>
      </c>
    </row>
    <row r="202" spans="2:21">
      <c r="B202" s="221">
        <v>0.29166666666666669</v>
      </c>
      <c r="C202" t="s">
        <v>156</v>
      </c>
      <c r="D202">
        <v>1323.7</v>
      </c>
      <c r="E202">
        <v>704.9</v>
      </c>
      <c r="F202" s="26"/>
      <c r="G202" s="26"/>
      <c r="H202" s="26"/>
      <c r="N202" s="114">
        <f t="shared" si="7"/>
        <v>1014.3</v>
      </c>
      <c r="O202" s="448"/>
      <c r="P202" s="222">
        <f t="shared" si="8"/>
        <v>0.98047365877235371</v>
      </c>
      <c r="Q202" s="222">
        <f>P202</f>
        <v>0.98047365877235371</v>
      </c>
    </row>
    <row r="203" spans="2:21">
      <c r="B203" s="223">
        <v>0.33333333333333331</v>
      </c>
      <c r="C203" s="224" t="s">
        <v>156</v>
      </c>
      <c r="D203">
        <v>1148.5999999999999</v>
      </c>
      <c r="E203">
        <v>920.4</v>
      </c>
      <c r="F203" s="26"/>
      <c r="G203" s="26"/>
      <c r="H203" s="26"/>
      <c r="N203" s="225">
        <f t="shared" si="7"/>
        <v>1034.5</v>
      </c>
      <c r="O203" s="448"/>
      <c r="P203" s="222">
        <f t="shared" si="8"/>
        <v>1</v>
      </c>
      <c r="Q203" s="10">
        <f>P203</f>
        <v>1</v>
      </c>
    </row>
    <row r="204" spans="2:21">
      <c r="B204" s="221">
        <v>0.375</v>
      </c>
      <c r="C204" t="s">
        <v>156</v>
      </c>
      <c r="D204">
        <v>922.3</v>
      </c>
      <c r="E204">
        <v>871</v>
      </c>
      <c r="F204" s="26"/>
      <c r="G204" s="26"/>
      <c r="H204" s="26"/>
      <c r="N204" s="114">
        <f t="shared" si="7"/>
        <v>896.65</v>
      </c>
      <c r="O204" s="448"/>
      <c r="P204" s="222">
        <f t="shared" si="8"/>
        <v>0.86674722087965195</v>
      </c>
      <c r="Q204" s="10">
        <f>P204*0.5</f>
        <v>0.43337361043982597</v>
      </c>
    </row>
    <row r="205" spans="2:21">
      <c r="B205" s="221">
        <v>0.41666666666666669</v>
      </c>
      <c r="C205" t="s">
        <v>156</v>
      </c>
      <c r="D205" s="224">
        <v>884.3</v>
      </c>
      <c r="E205">
        <v>845.3</v>
      </c>
      <c r="F205" s="26"/>
      <c r="G205" s="26"/>
      <c r="H205" s="26"/>
      <c r="N205" s="114">
        <f t="shared" si="7"/>
        <v>864.8</v>
      </c>
      <c r="O205" s="448"/>
      <c r="P205" s="222">
        <f t="shared" si="8"/>
        <v>0.83595940067665531</v>
      </c>
      <c r="Q205" s="10">
        <f>P205*0.5</f>
        <v>0.41797970033832765</v>
      </c>
    </row>
    <row r="206" spans="2:21">
      <c r="B206" s="221">
        <v>0.45833333333333331</v>
      </c>
      <c r="C206" t="s">
        <v>156</v>
      </c>
      <c r="D206">
        <v>944</v>
      </c>
      <c r="E206" s="224">
        <v>850.6</v>
      </c>
      <c r="F206" s="26"/>
      <c r="G206" s="26"/>
      <c r="H206" s="26"/>
      <c r="N206" s="114">
        <f t="shared" si="7"/>
        <v>897.3</v>
      </c>
      <c r="O206" s="448"/>
      <c r="P206" s="222">
        <f t="shared" si="8"/>
        <v>0.86737554374093762</v>
      </c>
      <c r="Q206" s="10">
        <f>P206*0.5</f>
        <v>0.43368777187046881</v>
      </c>
    </row>
    <row r="207" spans="2:21">
      <c r="B207" s="221">
        <v>0.5</v>
      </c>
      <c r="C207" t="s">
        <v>155</v>
      </c>
      <c r="D207">
        <v>971.4</v>
      </c>
      <c r="E207">
        <v>882.1</v>
      </c>
      <c r="F207" s="26"/>
      <c r="G207" s="26"/>
      <c r="H207" s="26"/>
      <c r="N207" s="226">
        <f t="shared" si="7"/>
        <v>926.75</v>
      </c>
      <c r="O207" s="449" t="s">
        <v>155</v>
      </c>
      <c r="P207" s="222">
        <f t="shared" ref="P207:P218" si="9">N207/$N$212</f>
        <v>0.85281126345817626</v>
      </c>
      <c r="Q207" s="10">
        <f>P207*0.5</f>
        <v>0.42640563172908813</v>
      </c>
    </row>
    <row r="208" spans="2:21">
      <c r="B208" s="221">
        <v>4.1666666666666664E-2</v>
      </c>
      <c r="C208" t="s">
        <v>155</v>
      </c>
      <c r="D208">
        <v>991.6</v>
      </c>
      <c r="E208">
        <v>875.3</v>
      </c>
      <c r="F208" s="26"/>
      <c r="G208" s="26"/>
      <c r="H208" s="26"/>
      <c r="N208" s="226">
        <f t="shared" si="7"/>
        <v>933.45</v>
      </c>
      <c r="O208" s="449"/>
      <c r="P208" s="222">
        <f t="shared" si="9"/>
        <v>0.85897671850556745</v>
      </c>
      <c r="Q208" s="10">
        <f>P208*0.5</f>
        <v>0.42948835925278372</v>
      </c>
    </row>
    <row r="209" spans="2:21">
      <c r="B209" s="221">
        <v>8.3333333333333329E-2</v>
      </c>
      <c r="C209" t="s">
        <v>155</v>
      </c>
      <c r="D209">
        <v>982</v>
      </c>
      <c r="E209">
        <v>998.6</v>
      </c>
      <c r="F209" s="26"/>
      <c r="G209" s="26"/>
      <c r="H209" s="26"/>
      <c r="N209" s="114">
        <f t="shared" si="7"/>
        <v>990.3</v>
      </c>
      <c r="O209" s="449"/>
      <c r="P209" s="222">
        <f t="shared" si="9"/>
        <v>0.91129106469126731</v>
      </c>
      <c r="Q209" s="10">
        <f>P209</f>
        <v>0.91129106469126731</v>
      </c>
    </row>
    <row r="210" spans="2:21">
      <c r="B210" s="221">
        <v>0.125</v>
      </c>
      <c r="C210" t="s">
        <v>155</v>
      </c>
      <c r="D210">
        <v>1137.7</v>
      </c>
      <c r="E210">
        <v>1004.7</v>
      </c>
      <c r="F210" s="26"/>
      <c r="G210" s="26"/>
      <c r="H210" s="26"/>
      <c r="N210" s="114">
        <f t="shared" si="7"/>
        <v>1071.2</v>
      </c>
      <c r="O210" s="449"/>
      <c r="P210" s="222">
        <f t="shared" si="9"/>
        <v>0.98573663384558774</v>
      </c>
      <c r="Q210" s="10">
        <f>P210</f>
        <v>0.98573663384558774</v>
      </c>
    </row>
    <row r="211" spans="2:21">
      <c r="B211" s="221">
        <v>0.16666666666666666</v>
      </c>
      <c r="C211" t="s">
        <v>155</v>
      </c>
      <c r="D211">
        <v>1017.3</v>
      </c>
      <c r="E211">
        <v>1057.3</v>
      </c>
      <c r="F211" s="26"/>
      <c r="G211" s="26"/>
      <c r="H211" s="26"/>
      <c r="N211" s="114">
        <f t="shared" si="7"/>
        <v>1037.3</v>
      </c>
      <c r="O211" s="449"/>
      <c r="P211" s="222">
        <f t="shared" si="9"/>
        <v>0.95454127174013081</v>
      </c>
      <c r="Q211" s="10">
        <f>P211</f>
        <v>0.95454127174013081</v>
      </c>
    </row>
    <row r="212" spans="2:21">
      <c r="B212" s="223">
        <v>0.20833333333333334</v>
      </c>
      <c r="C212" s="224" t="s">
        <v>155</v>
      </c>
      <c r="D212">
        <v>1064.3</v>
      </c>
      <c r="E212">
        <v>1109.0999999999999</v>
      </c>
      <c r="F212" s="26"/>
      <c r="G212" s="26"/>
      <c r="H212" s="26"/>
      <c r="N212" s="225">
        <f t="shared" si="7"/>
        <v>1086.6999999999998</v>
      </c>
      <c r="O212" s="449"/>
      <c r="P212" s="222">
        <f t="shared" si="9"/>
        <v>1</v>
      </c>
      <c r="Q212" s="10">
        <f>P212</f>
        <v>1</v>
      </c>
    </row>
    <row r="213" spans="2:21">
      <c r="B213" s="221">
        <v>0.25</v>
      </c>
      <c r="C213" t="s">
        <v>155</v>
      </c>
      <c r="D213">
        <v>1003.6</v>
      </c>
      <c r="E213">
        <v>1011</v>
      </c>
      <c r="F213" s="26"/>
      <c r="G213" s="26"/>
      <c r="H213" s="26"/>
      <c r="N213" s="114">
        <f t="shared" si="7"/>
        <v>1007.3</v>
      </c>
      <c r="O213" s="449"/>
      <c r="P213" s="222">
        <f t="shared" si="9"/>
        <v>0.92693475660255831</v>
      </c>
      <c r="Q213" s="10">
        <f>P213</f>
        <v>0.92693475660255831</v>
      </c>
    </row>
    <row r="214" spans="2:21">
      <c r="B214" s="221">
        <v>0.29166666666666669</v>
      </c>
      <c r="C214" t="s">
        <v>155</v>
      </c>
      <c r="D214" s="224">
        <v>769.9</v>
      </c>
      <c r="E214">
        <v>803.6</v>
      </c>
      <c r="N214" s="114">
        <f t="shared" si="7"/>
        <v>786.75</v>
      </c>
      <c r="O214" s="449"/>
      <c r="P214" s="222">
        <f t="shared" si="9"/>
        <v>0.72398085948283808</v>
      </c>
      <c r="Q214" s="10">
        <f>P214/2</f>
        <v>0.36199042974141904</v>
      </c>
    </row>
    <row r="215" spans="2:21">
      <c r="B215" s="221">
        <v>0.33333333333333331</v>
      </c>
      <c r="C215" t="s">
        <v>155</v>
      </c>
      <c r="D215">
        <v>693</v>
      </c>
      <c r="E215" s="224">
        <v>618</v>
      </c>
      <c r="N215" s="114">
        <f t="shared" si="7"/>
        <v>655.5</v>
      </c>
      <c r="O215" s="449"/>
      <c r="P215" s="222">
        <f t="shared" si="9"/>
        <v>0.60320235575595849</v>
      </c>
      <c r="Q215">
        <v>0</v>
      </c>
    </row>
    <row r="216" spans="2:21">
      <c r="B216" s="221">
        <v>0.375</v>
      </c>
      <c r="C216" t="s">
        <v>155</v>
      </c>
      <c r="D216">
        <v>523.70000000000005</v>
      </c>
      <c r="E216">
        <v>530.70000000000005</v>
      </c>
      <c r="N216" s="114">
        <f t="shared" si="7"/>
        <v>527.20000000000005</v>
      </c>
      <c r="O216" s="449"/>
      <c r="P216" s="222">
        <f t="shared" si="9"/>
        <v>0.48513849268427361</v>
      </c>
      <c r="Q216">
        <v>0</v>
      </c>
    </row>
    <row r="217" spans="2:21">
      <c r="B217" s="221">
        <v>0.41666666666666669</v>
      </c>
      <c r="C217" t="s">
        <v>155</v>
      </c>
      <c r="D217">
        <v>389.4</v>
      </c>
      <c r="E217">
        <v>398.3</v>
      </c>
      <c r="N217" s="114">
        <f t="shared" si="7"/>
        <v>393.85</v>
      </c>
      <c r="O217" s="449"/>
      <c r="P217" s="222">
        <f t="shared" si="9"/>
        <v>0.36242753289776397</v>
      </c>
      <c r="Q217">
        <v>0</v>
      </c>
    </row>
    <row r="218" spans="2:21">
      <c r="B218" s="221">
        <v>0.45833333333333331</v>
      </c>
      <c r="C218" t="s">
        <v>155</v>
      </c>
      <c r="D218">
        <v>222.6</v>
      </c>
      <c r="E218">
        <v>254.3</v>
      </c>
      <c r="N218" s="114">
        <f t="shared" si="7"/>
        <v>238.45</v>
      </c>
      <c r="O218" s="449"/>
      <c r="P218" s="222">
        <f t="shared" si="9"/>
        <v>0.21942578448513853</v>
      </c>
      <c r="Q218">
        <v>0</v>
      </c>
    </row>
    <row r="219" spans="2:21">
      <c r="B219" s="219"/>
    </row>
    <row r="220" spans="2:21">
      <c r="B220" s="219"/>
    </row>
    <row r="221" spans="2:21">
      <c r="B221" s="219"/>
    </row>
    <row r="222" spans="2:21">
      <c r="B222" s="219" t="s">
        <v>254</v>
      </c>
    </row>
    <row r="223" spans="2:21">
      <c r="B223" s="219"/>
    </row>
    <row r="224" spans="2:21">
      <c r="B224" s="219"/>
      <c r="D224" s="438">
        <v>43031</v>
      </c>
      <c r="E224" s="438"/>
      <c r="R224" s="429" t="s">
        <v>248</v>
      </c>
      <c r="S224" s="429"/>
      <c r="T224" s="429" t="s">
        <v>226</v>
      </c>
      <c r="U224" s="429"/>
    </row>
    <row r="225" spans="2:21">
      <c r="D225" s="220" t="s">
        <v>250</v>
      </c>
      <c r="E225" s="220" t="s">
        <v>258</v>
      </c>
    </row>
    <row r="226" spans="2:21">
      <c r="B226" s="221">
        <v>0.5</v>
      </c>
      <c r="C226" t="s">
        <v>156</v>
      </c>
      <c r="D226" s="220">
        <v>117</v>
      </c>
      <c r="E226" s="220">
        <v>112</v>
      </c>
      <c r="F226" s="220">
        <v>99</v>
      </c>
      <c r="G226" s="220">
        <v>134</v>
      </c>
      <c r="H226" s="220">
        <v>118</v>
      </c>
      <c r="I226" s="220">
        <v>140</v>
      </c>
      <c r="J226" s="220">
        <v>121</v>
      </c>
      <c r="K226" s="220">
        <v>119</v>
      </c>
      <c r="L226" s="220">
        <v>135</v>
      </c>
      <c r="M226" s="220">
        <v>157</v>
      </c>
      <c r="N226" s="220">
        <v>206</v>
      </c>
      <c r="O226" s="220">
        <v>226</v>
      </c>
      <c r="P226" s="220">
        <v>249</v>
      </c>
      <c r="Q226" s="220">
        <v>286</v>
      </c>
      <c r="R226" s="220">
        <v>118</v>
      </c>
      <c r="S226" s="220">
        <v>132.4</v>
      </c>
      <c r="T226" s="220">
        <v>149.30000000000001</v>
      </c>
      <c r="U226" s="220">
        <v>167.7</v>
      </c>
    </row>
    <row r="227" spans="2:21">
      <c r="B227" s="221">
        <v>4.1666666666666664E-2</v>
      </c>
      <c r="C227" t="s">
        <v>156</v>
      </c>
      <c r="D227" s="220">
        <v>71</v>
      </c>
      <c r="E227" s="220">
        <v>90</v>
      </c>
      <c r="F227" s="220">
        <v>55</v>
      </c>
      <c r="G227" s="220">
        <v>81</v>
      </c>
      <c r="H227" s="220">
        <v>79</v>
      </c>
      <c r="I227" s="220">
        <v>89</v>
      </c>
      <c r="J227" s="220">
        <v>65</v>
      </c>
      <c r="K227" s="220">
        <v>71</v>
      </c>
      <c r="L227" s="220">
        <v>84</v>
      </c>
      <c r="M227" s="220">
        <v>76</v>
      </c>
      <c r="N227" s="220">
        <v>133</v>
      </c>
      <c r="O227" s="220">
        <v>177</v>
      </c>
      <c r="P227" s="220">
        <v>156</v>
      </c>
      <c r="Q227" s="220">
        <v>182</v>
      </c>
      <c r="R227" s="220">
        <v>70.8</v>
      </c>
      <c r="S227" s="220">
        <v>81.400000000000006</v>
      </c>
      <c r="T227" s="220">
        <v>91.9</v>
      </c>
      <c r="U227" s="220">
        <v>109.4</v>
      </c>
    </row>
    <row r="228" spans="2:21">
      <c r="B228" s="221">
        <v>8.3333333333333329E-2</v>
      </c>
      <c r="C228" t="s">
        <v>156</v>
      </c>
      <c r="D228" s="220">
        <v>64</v>
      </c>
      <c r="E228" s="220">
        <v>58</v>
      </c>
      <c r="F228" s="220">
        <v>64</v>
      </c>
      <c r="G228" s="220">
        <v>75</v>
      </c>
      <c r="H228" s="220">
        <v>74</v>
      </c>
      <c r="I228" s="220">
        <v>79</v>
      </c>
      <c r="J228" s="220">
        <v>75</v>
      </c>
      <c r="K228" s="220">
        <v>72</v>
      </c>
      <c r="L228" s="220">
        <v>77</v>
      </c>
      <c r="M228" s="220">
        <v>82</v>
      </c>
      <c r="N228" s="220">
        <v>122</v>
      </c>
      <c r="O228" s="220">
        <v>140</v>
      </c>
      <c r="P228" s="220">
        <v>149</v>
      </c>
      <c r="Q228" s="220">
        <v>171</v>
      </c>
      <c r="R228" s="220">
        <v>70.8</v>
      </c>
      <c r="S228" s="220">
        <v>73.2</v>
      </c>
      <c r="T228" s="220">
        <v>89.3</v>
      </c>
      <c r="U228" s="220">
        <v>96.7</v>
      </c>
    </row>
    <row r="229" spans="2:21">
      <c r="B229" s="221">
        <v>0.125</v>
      </c>
      <c r="C229" t="s">
        <v>156</v>
      </c>
      <c r="D229">
        <v>76</v>
      </c>
      <c r="E229">
        <v>35</v>
      </c>
      <c r="F229">
        <v>56</v>
      </c>
      <c r="G229">
        <v>58</v>
      </c>
      <c r="H229">
        <v>55</v>
      </c>
      <c r="I229">
        <v>57</v>
      </c>
      <c r="J229">
        <v>50</v>
      </c>
      <c r="K229">
        <v>50</v>
      </c>
      <c r="L229">
        <v>51</v>
      </c>
      <c r="M229">
        <v>77</v>
      </c>
      <c r="N229">
        <v>83</v>
      </c>
      <c r="O229">
        <v>115</v>
      </c>
      <c r="P229">
        <v>89</v>
      </c>
      <c r="Q229">
        <v>92</v>
      </c>
      <c r="R229">
        <v>57.6</v>
      </c>
      <c r="S229">
        <v>55.4</v>
      </c>
      <c r="T229">
        <v>65.7</v>
      </c>
      <c r="U229">
        <v>69.099999999999994</v>
      </c>
    </row>
    <row r="230" spans="2:21">
      <c r="B230" s="221">
        <v>0.16666666666666666</v>
      </c>
      <c r="C230" t="s">
        <v>156</v>
      </c>
      <c r="D230">
        <v>120</v>
      </c>
      <c r="E230">
        <v>115</v>
      </c>
      <c r="F230">
        <v>122</v>
      </c>
      <c r="G230">
        <v>156</v>
      </c>
      <c r="H230">
        <v>122</v>
      </c>
      <c r="I230">
        <v>149</v>
      </c>
      <c r="J230">
        <v>129</v>
      </c>
      <c r="K230">
        <v>120</v>
      </c>
      <c r="L230">
        <v>115</v>
      </c>
      <c r="M230">
        <v>142</v>
      </c>
      <c r="N230">
        <v>91</v>
      </c>
      <c r="O230">
        <v>116</v>
      </c>
      <c r="P230">
        <v>76</v>
      </c>
      <c r="Q230">
        <v>92</v>
      </c>
      <c r="R230">
        <v>121.6</v>
      </c>
      <c r="S230">
        <v>136.4</v>
      </c>
      <c r="T230">
        <v>110.7</v>
      </c>
      <c r="U230">
        <v>127.1</v>
      </c>
    </row>
    <row r="231" spans="2:21">
      <c r="B231" s="221">
        <v>0.20833333333333334</v>
      </c>
      <c r="C231" t="s">
        <v>156</v>
      </c>
      <c r="D231">
        <v>364</v>
      </c>
      <c r="E231">
        <v>297</v>
      </c>
      <c r="F231">
        <v>366</v>
      </c>
      <c r="G231">
        <v>451</v>
      </c>
      <c r="H231">
        <v>379</v>
      </c>
      <c r="I231">
        <v>411</v>
      </c>
      <c r="J231">
        <v>388</v>
      </c>
      <c r="K231">
        <v>333</v>
      </c>
      <c r="L231">
        <v>363</v>
      </c>
      <c r="M231">
        <v>344</v>
      </c>
      <c r="N231">
        <v>111</v>
      </c>
      <c r="O231">
        <v>169</v>
      </c>
      <c r="P231">
        <v>92</v>
      </c>
      <c r="Q231">
        <v>139</v>
      </c>
      <c r="R231">
        <v>372</v>
      </c>
      <c r="S231">
        <v>367.2</v>
      </c>
      <c r="T231">
        <v>294.7</v>
      </c>
      <c r="U231">
        <v>306.3</v>
      </c>
    </row>
    <row r="232" spans="2:21">
      <c r="B232" s="221">
        <v>0.25</v>
      </c>
      <c r="C232" t="s">
        <v>156</v>
      </c>
      <c r="D232">
        <v>1085</v>
      </c>
      <c r="E232">
        <v>575</v>
      </c>
      <c r="F232">
        <v>1179</v>
      </c>
      <c r="G232">
        <v>794</v>
      </c>
      <c r="H232">
        <v>1157</v>
      </c>
      <c r="I232">
        <v>653</v>
      </c>
      <c r="J232">
        <v>1211</v>
      </c>
      <c r="K232">
        <v>571</v>
      </c>
      <c r="L232">
        <v>997</v>
      </c>
      <c r="M232">
        <v>626</v>
      </c>
      <c r="N232">
        <v>249</v>
      </c>
      <c r="O232">
        <v>295</v>
      </c>
      <c r="P232">
        <v>185</v>
      </c>
      <c r="Q232">
        <v>198</v>
      </c>
      <c r="R232">
        <v>1125.8</v>
      </c>
      <c r="S232">
        <v>643.79999999999995</v>
      </c>
      <c r="T232">
        <v>866.1</v>
      </c>
      <c r="U232">
        <v>530.29999999999995</v>
      </c>
    </row>
    <row r="233" spans="2:21">
      <c r="B233" s="221">
        <v>0.29166666666666669</v>
      </c>
      <c r="C233" t="s">
        <v>156</v>
      </c>
      <c r="D233">
        <v>1733</v>
      </c>
      <c r="E233">
        <v>733</v>
      </c>
      <c r="F233">
        <v>1743</v>
      </c>
      <c r="G233">
        <v>1053</v>
      </c>
      <c r="H233">
        <v>1758</v>
      </c>
      <c r="I233">
        <v>856</v>
      </c>
      <c r="J233">
        <v>1789</v>
      </c>
      <c r="K233">
        <v>679</v>
      </c>
      <c r="L233">
        <v>1594</v>
      </c>
      <c r="M233">
        <v>799</v>
      </c>
      <c r="N233">
        <v>391</v>
      </c>
      <c r="O233">
        <v>488</v>
      </c>
      <c r="P233">
        <v>258</v>
      </c>
      <c r="Q233">
        <v>326</v>
      </c>
      <c r="R233">
        <v>1723.4</v>
      </c>
      <c r="S233">
        <v>824</v>
      </c>
      <c r="T233">
        <v>1323.7</v>
      </c>
      <c r="U233">
        <v>704.9</v>
      </c>
    </row>
    <row r="234" spans="2:21">
      <c r="B234" s="221">
        <v>0.33333333333333331</v>
      </c>
      <c r="C234" t="s">
        <v>156</v>
      </c>
      <c r="D234">
        <v>1380</v>
      </c>
      <c r="E234">
        <v>1073</v>
      </c>
      <c r="F234">
        <v>1405</v>
      </c>
      <c r="G234">
        <v>1131</v>
      </c>
      <c r="H234">
        <v>1380</v>
      </c>
      <c r="I234">
        <v>990</v>
      </c>
      <c r="J234">
        <v>1452</v>
      </c>
      <c r="K234">
        <v>895</v>
      </c>
      <c r="L234">
        <v>1376</v>
      </c>
      <c r="M234">
        <v>990</v>
      </c>
      <c r="N234">
        <v>657</v>
      </c>
      <c r="O234">
        <v>820</v>
      </c>
      <c r="P234">
        <v>390</v>
      </c>
      <c r="Q234">
        <v>544</v>
      </c>
      <c r="R234">
        <v>1398.6</v>
      </c>
      <c r="S234">
        <v>1015.8</v>
      </c>
      <c r="T234">
        <v>1148.5999999999999</v>
      </c>
      <c r="U234">
        <v>920.4</v>
      </c>
    </row>
    <row r="235" spans="2:21">
      <c r="B235" s="221">
        <v>0.375</v>
      </c>
      <c r="C235" t="s">
        <v>156</v>
      </c>
      <c r="D235">
        <v>990</v>
      </c>
      <c r="E235">
        <v>897</v>
      </c>
      <c r="F235">
        <v>988</v>
      </c>
      <c r="G235">
        <v>930</v>
      </c>
      <c r="H235">
        <v>970</v>
      </c>
      <c r="I235">
        <v>899</v>
      </c>
      <c r="J235">
        <v>1037</v>
      </c>
      <c r="K235">
        <v>864</v>
      </c>
      <c r="L235">
        <v>1013</v>
      </c>
      <c r="M235">
        <v>862</v>
      </c>
      <c r="N235">
        <v>834</v>
      </c>
      <c r="O235">
        <v>911</v>
      </c>
      <c r="P235">
        <v>624</v>
      </c>
      <c r="Q235">
        <v>734</v>
      </c>
      <c r="R235">
        <v>999.6</v>
      </c>
      <c r="S235">
        <v>890.4</v>
      </c>
      <c r="T235">
        <v>922.3</v>
      </c>
      <c r="U235">
        <v>871</v>
      </c>
    </row>
    <row r="236" spans="2:21">
      <c r="B236" s="221">
        <v>0.41666666666666669</v>
      </c>
      <c r="C236" t="s">
        <v>156</v>
      </c>
      <c r="D236">
        <v>828</v>
      </c>
      <c r="E236">
        <v>867</v>
      </c>
      <c r="F236">
        <v>907</v>
      </c>
      <c r="G236">
        <v>789</v>
      </c>
      <c r="H236">
        <v>870</v>
      </c>
      <c r="I236">
        <v>872</v>
      </c>
      <c r="J236">
        <v>840</v>
      </c>
      <c r="K236">
        <v>819</v>
      </c>
      <c r="L236">
        <v>897</v>
      </c>
      <c r="M236">
        <v>800</v>
      </c>
      <c r="N236">
        <v>1022</v>
      </c>
      <c r="O236">
        <v>937</v>
      </c>
      <c r="P236">
        <v>826</v>
      </c>
      <c r="Q236">
        <v>833</v>
      </c>
      <c r="R236">
        <v>868.4</v>
      </c>
      <c r="S236">
        <v>829.4</v>
      </c>
      <c r="T236" s="224">
        <v>884.3</v>
      </c>
      <c r="U236">
        <v>845.3</v>
      </c>
    </row>
    <row r="237" spans="2:21">
      <c r="B237" s="221">
        <v>0.45833333333333331</v>
      </c>
      <c r="C237" t="s">
        <v>156</v>
      </c>
      <c r="D237">
        <v>881</v>
      </c>
      <c r="E237">
        <v>777</v>
      </c>
      <c r="F237">
        <v>930</v>
      </c>
      <c r="G237">
        <v>826</v>
      </c>
      <c r="H237">
        <v>903</v>
      </c>
      <c r="I237">
        <v>840</v>
      </c>
      <c r="J237">
        <v>926</v>
      </c>
      <c r="K237">
        <v>810</v>
      </c>
      <c r="L237">
        <v>933</v>
      </c>
      <c r="M237">
        <v>858</v>
      </c>
      <c r="N237">
        <v>1103</v>
      </c>
      <c r="O237">
        <v>974</v>
      </c>
      <c r="P237">
        <v>932</v>
      </c>
      <c r="Q237">
        <v>869</v>
      </c>
      <c r="R237">
        <v>914.6</v>
      </c>
      <c r="S237">
        <v>822.2</v>
      </c>
      <c r="T237">
        <v>944</v>
      </c>
      <c r="U237" s="224">
        <v>850.6</v>
      </c>
    </row>
    <row r="238" spans="2:21">
      <c r="B238" s="221">
        <v>0.5</v>
      </c>
      <c r="C238" t="s">
        <v>155</v>
      </c>
      <c r="D238">
        <v>873</v>
      </c>
      <c r="E238">
        <v>842</v>
      </c>
      <c r="F238">
        <v>890</v>
      </c>
      <c r="G238">
        <v>833</v>
      </c>
      <c r="H238">
        <v>960</v>
      </c>
      <c r="I238">
        <v>851</v>
      </c>
      <c r="J238">
        <v>934</v>
      </c>
      <c r="K238">
        <v>860</v>
      </c>
      <c r="L238">
        <v>961</v>
      </c>
      <c r="M238">
        <v>872</v>
      </c>
      <c r="N238">
        <v>1070</v>
      </c>
      <c r="O238">
        <v>955</v>
      </c>
      <c r="P238">
        <v>1112</v>
      </c>
      <c r="Q238">
        <v>962</v>
      </c>
      <c r="R238">
        <v>923.6</v>
      </c>
      <c r="S238">
        <v>851.6</v>
      </c>
      <c r="T238">
        <v>971.4</v>
      </c>
      <c r="U238">
        <v>882.1</v>
      </c>
    </row>
    <row r="239" spans="2:21">
      <c r="B239" s="221">
        <v>4.1666666666666664E-2</v>
      </c>
      <c r="C239" t="s">
        <v>155</v>
      </c>
      <c r="D239">
        <v>974</v>
      </c>
      <c r="E239">
        <v>874</v>
      </c>
      <c r="F239">
        <v>918</v>
      </c>
      <c r="G239">
        <v>777</v>
      </c>
      <c r="H239">
        <v>1009</v>
      </c>
      <c r="I239">
        <v>886</v>
      </c>
      <c r="J239">
        <v>902</v>
      </c>
      <c r="K239">
        <v>811</v>
      </c>
      <c r="L239">
        <v>931</v>
      </c>
      <c r="M239">
        <v>888</v>
      </c>
      <c r="N239">
        <v>1134</v>
      </c>
      <c r="O239">
        <v>954</v>
      </c>
      <c r="P239">
        <v>1073</v>
      </c>
      <c r="Q239">
        <v>937</v>
      </c>
      <c r="R239">
        <v>946.8</v>
      </c>
      <c r="S239">
        <v>847.2</v>
      </c>
      <c r="T239">
        <v>991.6</v>
      </c>
      <c r="U239">
        <v>875.3</v>
      </c>
    </row>
    <row r="240" spans="2:21">
      <c r="B240" s="221">
        <v>8.3333333333333329E-2</v>
      </c>
      <c r="C240" t="s">
        <v>155</v>
      </c>
      <c r="D240">
        <v>976</v>
      </c>
      <c r="E240">
        <v>946</v>
      </c>
      <c r="F240">
        <v>870</v>
      </c>
      <c r="G240">
        <v>1012</v>
      </c>
      <c r="H240">
        <v>995</v>
      </c>
      <c r="I240">
        <v>929</v>
      </c>
      <c r="J240">
        <v>1031</v>
      </c>
      <c r="K240">
        <v>996</v>
      </c>
      <c r="L240">
        <v>956</v>
      </c>
      <c r="M240">
        <v>1071</v>
      </c>
      <c r="N240">
        <v>1130</v>
      </c>
      <c r="O240">
        <v>1090</v>
      </c>
      <c r="P240">
        <v>916</v>
      </c>
      <c r="Q240">
        <v>946</v>
      </c>
      <c r="R240">
        <v>965.6</v>
      </c>
      <c r="S240">
        <v>990.8</v>
      </c>
      <c r="T240">
        <v>982</v>
      </c>
      <c r="U240">
        <v>998.6</v>
      </c>
    </row>
    <row r="241" spans="2:21">
      <c r="B241" s="221">
        <v>0.125</v>
      </c>
      <c r="C241" t="s">
        <v>155</v>
      </c>
      <c r="D241">
        <v>1213</v>
      </c>
      <c r="E241">
        <v>988</v>
      </c>
      <c r="F241">
        <v>1239</v>
      </c>
      <c r="G241">
        <v>992</v>
      </c>
      <c r="H241">
        <v>1197</v>
      </c>
      <c r="I241">
        <v>1101</v>
      </c>
      <c r="J241">
        <v>1211</v>
      </c>
      <c r="K241">
        <v>946</v>
      </c>
      <c r="L241">
        <v>1169</v>
      </c>
      <c r="M241">
        <v>1043</v>
      </c>
      <c r="N241">
        <v>1034</v>
      </c>
      <c r="O241">
        <v>1108</v>
      </c>
      <c r="P241">
        <v>901</v>
      </c>
      <c r="Q241">
        <v>855</v>
      </c>
      <c r="R241">
        <v>1205.8</v>
      </c>
      <c r="S241">
        <v>1014</v>
      </c>
      <c r="T241">
        <v>1137.7</v>
      </c>
      <c r="U241">
        <v>1004.7</v>
      </c>
    </row>
    <row r="242" spans="2:21">
      <c r="B242" s="221">
        <v>0.16666666666666666</v>
      </c>
      <c r="C242" t="s">
        <v>155</v>
      </c>
      <c r="D242">
        <v>990</v>
      </c>
      <c r="E242">
        <v>1105</v>
      </c>
      <c r="F242">
        <v>1043</v>
      </c>
      <c r="G242">
        <v>1068</v>
      </c>
      <c r="H242">
        <v>1079</v>
      </c>
      <c r="I242">
        <v>1096</v>
      </c>
      <c r="J242">
        <v>1010</v>
      </c>
      <c r="K242">
        <v>1065</v>
      </c>
      <c r="L242">
        <v>1006</v>
      </c>
      <c r="M242">
        <v>1102</v>
      </c>
      <c r="N242">
        <v>1050</v>
      </c>
      <c r="O242">
        <v>1090</v>
      </c>
      <c r="P242">
        <v>943</v>
      </c>
      <c r="Q242">
        <v>875</v>
      </c>
      <c r="R242">
        <v>1025.5999999999999</v>
      </c>
      <c r="S242">
        <v>1087.2</v>
      </c>
      <c r="T242">
        <v>1017.3</v>
      </c>
      <c r="U242">
        <v>1057.3</v>
      </c>
    </row>
    <row r="243" spans="2:21">
      <c r="B243" s="221">
        <v>0.20833333333333334</v>
      </c>
      <c r="C243" t="s">
        <v>155</v>
      </c>
      <c r="D243">
        <v>1078</v>
      </c>
      <c r="E243">
        <v>1173</v>
      </c>
      <c r="F243">
        <v>1106</v>
      </c>
      <c r="G243">
        <v>1150</v>
      </c>
      <c r="H243">
        <v>1131</v>
      </c>
      <c r="I243">
        <v>1088</v>
      </c>
      <c r="J243">
        <v>1063</v>
      </c>
      <c r="K243">
        <v>1158</v>
      </c>
      <c r="L243">
        <v>994</v>
      </c>
      <c r="M243">
        <v>1170</v>
      </c>
      <c r="N243">
        <v>1081</v>
      </c>
      <c r="O243">
        <v>1064</v>
      </c>
      <c r="P243">
        <v>997</v>
      </c>
      <c r="Q243">
        <v>961</v>
      </c>
      <c r="R243">
        <v>1074.4000000000001</v>
      </c>
      <c r="S243">
        <v>1147.8</v>
      </c>
      <c r="T243">
        <v>1064.3</v>
      </c>
      <c r="U243">
        <v>1109.0999999999999</v>
      </c>
    </row>
    <row r="244" spans="2:21">
      <c r="B244" s="221">
        <v>0.25</v>
      </c>
      <c r="C244" t="s">
        <v>155</v>
      </c>
      <c r="D244">
        <v>1015</v>
      </c>
      <c r="E244">
        <v>1070</v>
      </c>
      <c r="F244">
        <v>1036</v>
      </c>
      <c r="G244">
        <v>1048</v>
      </c>
      <c r="H244">
        <v>1006</v>
      </c>
      <c r="I244">
        <v>1039</v>
      </c>
      <c r="J244">
        <v>1050</v>
      </c>
      <c r="K244">
        <v>1074</v>
      </c>
      <c r="L244">
        <v>977</v>
      </c>
      <c r="M244">
        <v>1060</v>
      </c>
      <c r="N244">
        <v>1053</v>
      </c>
      <c r="O244">
        <v>1015</v>
      </c>
      <c r="P244">
        <v>888</v>
      </c>
      <c r="Q244">
        <v>771</v>
      </c>
      <c r="R244">
        <v>1016.8</v>
      </c>
      <c r="S244">
        <v>1058.2</v>
      </c>
      <c r="T244">
        <v>1003.6</v>
      </c>
      <c r="U244">
        <v>1011</v>
      </c>
    </row>
    <row r="245" spans="2:21">
      <c r="B245" s="221">
        <v>0.29166666666666669</v>
      </c>
      <c r="C245" t="s">
        <v>155</v>
      </c>
      <c r="D245">
        <v>658</v>
      </c>
      <c r="E245">
        <v>760</v>
      </c>
      <c r="F245">
        <v>813</v>
      </c>
      <c r="G245">
        <v>872</v>
      </c>
      <c r="H245">
        <v>766</v>
      </c>
      <c r="I245">
        <v>786</v>
      </c>
      <c r="J245">
        <v>846</v>
      </c>
      <c r="K245">
        <v>820</v>
      </c>
      <c r="L245">
        <v>755</v>
      </c>
      <c r="M245">
        <v>880</v>
      </c>
      <c r="N245">
        <v>864</v>
      </c>
      <c r="O245">
        <v>805</v>
      </c>
      <c r="P245">
        <v>687</v>
      </c>
      <c r="Q245">
        <v>702</v>
      </c>
      <c r="R245">
        <v>767.6</v>
      </c>
      <c r="S245">
        <v>823.6</v>
      </c>
      <c r="T245" s="224">
        <v>769.9</v>
      </c>
      <c r="U245">
        <v>803.6</v>
      </c>
    </row>
    <row r="246" spans="2:21">
      <c r="B246" s="221">
        <v>0.33333333333333331</v>
      </c>
      <c r="C246" t="s">
        <v>155</v>
      </c>
      <c r="D246">
        <v>620</v>
      </c>
      <c r="E246">
        <v>613</v>
      </c>
      <c r="F246">
        <v>707</v>
      </c>
      <c r="G246">
        <v>655</v>
      </c>
      <c r="H246">
        <v>680</v>
      </c>
      <c r="I246">
        <v>636</v>
      </c>
      <c r="J246">
        <v>776</v>
      </c>
      <c r="K246">
        <v>680</v>
      </c>
      <c r="L246">
        <v>705</v>
      </c>
      <c r="M246">
        <v>613</v>
      </c>
      <c r="N246">
        <v>804</v>
      </c>
      <c r="O246">
        <v>602</v>
      </c>
      <c r="P246">
        <v>559</v>
      </c>
      <c r="Q246">
        <v>527</v>
      </c>
      <c r="R246">
        <v>697.6</v>
      </c>
      <c r="S246">
        <v>639.4</v>
      </c>
      <c r="T246">
        <v>693</v>
      </c>
      <c r="U246" s="224">
        <v>618</v>
      </c>
    </row>
    <row r="247" spans="2:21">
      <c r="B247" s="221">
        <v>0.375</v>
      </c>
      <c r="C247" t="s">
        <v>155</v>
      </c>
      <c r="D247">
        <v>440</v>
      </c>
      <c r="E247">
        <v>512</v>
      </c>
      <c r="F247">
        <v>546</v>
      </c>
      <c r="G247">
        <v>565</v>
      </c>
      <c r="H247">
        <v>476</v>
      </c>
      <c r="I247">
        <v>499</v>
      </c>
      <c r="J247">
        <v>522</v>
      </c>
      <c r="K247">
        <v>578</v>
      </c>
      <c r="L247">
        <v>636</v>
      </c>
      <c r="M247">
        <v>542</v>
      </c>
      <c r="N247">
        <v>648</v>
      </c>
      <c r="O247">
        <v>599</v>
      </c>
      <c r="P247">
        <v>398</v>
      </c>
      <c r="Q247">
        <v>420</v>
      </c>
      <c r="R247">
        <v>524</v>
      </c>
      <c r="S247">
        <v>539.20000000000005</v>
      </c>
      <c r="T247">
        <v>523.70000000000005</v>
      </c>
      <c r="U247">
        <v>530.70000000000005</v>
      </c>
    </row>
    <row r="248" spans="2:21">
      <c r="B248" s="221">
        <v>0.41666666666666669</v>
      </c>
      <c r="C248" t="s">
        <v>155</v>
      </c>
      <c r="D248">
        <v>330</v>
      </c>
      <c r="E248">
        <v>341</v>
      </c>
      <c r="F248">
        <v>376</v>
      </c>
      <c r="G248">
        <v>394</v>
      </c>
      <c r="H248">
        <v>381</v>
      </c>
      <c r="I248">
        <v>323</v>
      </c>
      <c r="J248">
        <v>394</v>
      </c>
      <c r="K248">
        <v>398</v>
      </c>
      <c r="L248">
        <v>428</v>
      </c>
      <c r="M248">
        <v>500</v>
      </c>
      <c r="N248">
        <v>525</v>
      </c>
      <c r="O248">
        <v>530</v>
      </c>
      <c r="P248">
        <v>292</v>
      </c>
      <c r="Q248">
        <v>302</v>
      </c>
      <c r="R248">
        <v>381.8</v>
      </c>
      <c r="S248">
        <v>391.2</v>
      </c>
      <c r="T248">
        <v>389.4</v>
      </c>
      <c r="U248">
        <v>398.3</v>
      </c>
    </row>
    <row r="249" spans="2:21">
      <c r="B249" s="221">
        <v>0.45833333333333331</v>
      </c>
      <c r="C249" t="s">
        <v>155</v>
      </c>
      <c r="D249">
        <v>214</v>
      </c>
      <c r="E249">
        <v>205</v>
      </c>
      <c r="F249">
        <v>180</v>
      </c>
      <c r="G249">
        <v>249</v>
      </c>
      <c r="H249">
        <v>184</v>
      </c>
      <c r="I249">
        <v>204</v>
      </c>
      <c r="J249">
        <v>246</v>
      </c>
      <c r="K249">
        <v>234</v>
      </c>
      <c r="L249">
        <v>294</v>
      </c>
      <c r="M249">
        <v>309</v>
      </c>
      <c r="N249">
        <v>300</v>
      </c>
      <c r="O249">
        <v>377</v>
      </c>
      <c r="P249">
        <v>140</v>
      </c>
      <c r="Q249">
        <v>202</v>
      </c>
      <c r="R249">
        <v>223.6</v>
      </c>
      <c r="S249">
        <v>240.2</v>
      </c>
      <c r="T249">
        <v>222.6</v>
      </c>
      <c r="U249">
        <v>254.3</v>
      </c>
    </row>
    <row r="250" spans="2:21">
      <c r="B250" s="221"/>
    </row>
    <row r="251" spans="2:21">
      <c r="B251" s="221"/>
    </row>
  </sheetData>
  <mergeCells count="74">
    <mergeCell ref="D11:E11"/>
    <mergeCell ref="D12:M12"/>
    <mergeCell ref="D13:E13"/>
    <mergeCell ref="F13:G13"/>
    <mergeCell ref="H13:I13"/>
    <mergeCell ref="J13:K13"/>
    <mergeCell ref="L13:M13"/>
    <mergeCell ref="R13:T13"/>
    <mergeCell ref="O16:O27"/>
    <mergeCell ref="O28:O39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R15:T15"/>
    <mergeCell ref="T76:U76"/>
    <mergeCell ref="D46:E46"/>
    <mergeCell ref="F46:G46"/>
    <mergeCell ref="H46:I46"/>
    <mergeCell ref="J46:K46"/>
    <mergeCell ref="L46:M46"/>
    <mergeCell ref="D76:E76"/>
    <mergeCell ref="F76:G76"/>
    <mergeCell ref="H76:I76"/>
    <mergeCell ref="J76:K76"/>
    <mergeCell ref="L76:M76"/>
    <mergeCell ref="D77:E77"/>
    <mergeCell ref="F77:G77"/>
    <mergeCell ref="H77:I77"/>
    <mergeCell ref="J77:K77"/>
    <mergeCell ref="L77:M77"/>
    <mergeCell ref="D106:E106"/>
    <mergeCell ref="F106:G106"/>
    <mergeCell ref="H106:I106"/>
    <mergeCell ref="J106:K106"/>
    <mergeCell ref="L106:M106"/>
    <mergeCell ref="N107:O107"/>
    <mergeCell ref="R4:T4"/>
    <mergeCell ref="R106:S106"/>
    <mergeCell ref="T106:U106"/>
    <mergeCell ref="P107:Q107"/>
    <mergeCell ref="P77:Q77"/>
    <mergeCell ref="N106:O106"/>
    <mergeCell ref="P106:Q106"/>
    <mergeCell ref="N77:O77"/>
    <mergeCell ref="N46:O46"/>
    <mergeCell ref="P46:Q46"/>
    <mergeCell ref="R46:S46"/>
    <mergeCell ref="T46:U46"/>
    <mergeCell ref="N76:O76"/>
    <mergeCell ref="P76:Q76"/>
    <mergeCell ref="R76:S76"/>
    <mergeCell ref="R192:T192"/>
    <mergeCell ref="O195:O206"/>
    <mergeCell ref="O207:O218"/>
    <mergeCell ref="D224:E224"/>
    <mergeCell ref="R224:S224"/>
    <mergeCell ref="T224:U224"/>
    <mergeCell ref="D107:E107"/>
    <mergeCell ref="D191:M191"/>
    <mergeCell ref="D192:E192"/>
    <mergeCell ref="F192:G192"/>
    <mergeCell ref="H192:I192"/>
    <mergeCell ref="J192:K192"/>
    <mergeCell ref="L192:M192"/>
    <mergeCell ref="H107:I107"/>
    <mergeCell ref="J107:K107"/>
    <mergeCell ref="L107:M107"/>
    <mergeCell ref="F107:G10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25F7C-2E29-4B9B-829B-F29FF0D9E12A}">
  <dimension ref="A1:AB63"/>
  <sheetViews>
    <sheetView showGridLines="0" topLeftCell="A19" zoomScale="90" zoomScaleNormal="90" workbookViewId="0">
      <selection activeCell="B44" sqref="B44"/>
    </sheetView>
  </sheetViews>
  <sheetFormatPr defaultRowHeight="14.4"/>
  <cols>
    <col min="1" max="1" width="1.6640625" customWidth="1"/>
    <col min="2" max="2" width="24" customWidth="1"/>
    <col min="3" max="4" width="5.5546875" customWidth="1"/>
    <col min="5" max="5" width="3.5546875" customWidth="1"/>
    <col min="6" max="7" width="4.6640625" customWidth="1"/>
    <col min="8" max="8" width="3.6640625" customWidth="1"/>
    <col min="9" max="9" width="4.6640625" customWidth="1"/>
    <col min="10" max="10" width="6" customWidth="1"/>
    <col min="11" max="11" width="3.6640625" customWidth="1"/>
    <col min="12" max="12" width="6.109375" customWidth="1"/>
    <col min="13" max="13" width="5.33203125" customWidth="1"/>
    <col min="14" max="14" width="3.44140625" customWidth="1"/>
    <col min="15" max="15" width="4.6640625" customWidth="1"/>
    <col min="16" max="16" width="4.44140625" customWidth="1"/>
    <col min="17" max="18" width="4.6640625" customWidth="1"/>
    <col min="19" max="20" width="4.33203125" customWidth="1"/>
    <col min="21" max="21" width="10.33203125" customWidth="1"/>
    <col min="22" max="22" width="11.33203125" customWidth="1"/>
    <col min="23" max="23" width="11.109375" bestFit="1" customWidth="1"/>
    <col min="24" max="24" width="11.5546875" customWidth="1"/>
    <col min="25" max="25" width="9.88671875" customWidth="1"/>
    <col min="26" max="26" width="10.44140625" customWidth="1"/>
    <col min="27" max="27" width="13.33203125" customWidth="1"/>
    <col min="28" max="28" width="11.88671875" bestFit="1" customWidth="1"/>
  </cols>
  <sheetData>
    <row r="1" spans="1:28">
      <c r="B1" s="7" t="s">
        <v>395</v>
      </c>
    </row>
    <row r="2" spans="1:28">
      <c r="B2" s="8" t="s">
        <v>273</v>
      </c>
    </row>
    <row r="3" spans="1:28">
      <c r="A3" s="8"/>
    </row>
    <row r="4" spans="1:28" ht="18">
      <c r="B4" s="288" t="s">
        <v>274</v>
      </c>
      <c r="C4" s="288"/>
      <c r="D4" s="289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6"/>
    </row>
    <row r="5" spans="1:28" ht="17.25" customHeight="1">
      <c r="B5" s="450" t="s">
        <v>136</v>
      </c>
      <c r="C5" s="451" t="s">
        <v>154</v>
      </c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451"/>
      <c r="T5" s="451"/>
      <c r="U5" s="451"/>
      <c r="V5" s="290"/>
    </row>
    <row r="6" spans="1:28" ht="28.2" customHeight="1">
      <c r="B6" s="450"/>
      <c r="C6" s="452" t="s">
        <v>275</v>
      </c>
      <c r="D6" s="452"/>
      <c r="E6" s="452"/>
      <c r="F6" s="452"/>
      <c r="G6" s="452"/>
      <c r="H6" s="452"/>
      <c r="I6" s="452" t="s">
        <v>276</v>
      </c>
      <c r="J6" s="452"/>
      <c r="K6" s="452"/>
      <c r="L6" s="452"/>
      <c r="M6" s="452"/>
      <c r="N6" s="452"/>
      <c r="O6" s="452" t="s">
        <v>277</v>
      </c>
      <c r="P6" s="452"/>
      <c r="Q6" s="452"/>
      <c r="R6" s="452"/>
      <c r="S6" s="452"/>
      <c r="T6" s="452"/>
      <c r="U6" s="453" t="s">
        <v>0</v>
      </c>
      <c r="V6" s="455" t="s">
        <v>179</v>
      </c>
    </row>
    <row r="7" spans="1:28" ht="15" customHeight="1">
      <c r="B7" s="450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2"/>
      <c r="S7" s="452"/>
      <c r="T7" s="452"/>
      <c r="U7" s="453"/>
      <c r="V7" s="455"/>
    </row>
    <row r="8" spans="1:28" ht="26.4" customHeight="1">
      <c r="B8" s="450"/>
      <c r="C8" s="453" t="s">
        <v>158</v>
      </c>
      <c r="D8" s="453"/>
      <c r="E8" s="453"/>
      <c r="F8" s="453" t="s">
        <v>159</v>
      </c>
      <c r="G8" s="453"/>
      <c r="H8" s="453"/>
      <c r="I8" s="453" t="s">
        <v>158</v>
      </c>
      <c r="J8" s="453"/>
      <c r="K8" s="453"/>
      <c r="L8" s="453" t="s">
        <v>159</v>
      </c>
      <c r="M8" s="453"/>
      <c r="N8" s="453"/>
      <c r="O8" s="453" t="s">
        <v>158</v>
      </c>
      <c r="P8" s="453"/>
      <c r="Q8" s="453"/>
      <c r="R8" s="453" t="s">
        <v>159</v>
      </c>
      <c r="S8" s="453"/>
      <c r="T8" s="453"/>
      <c r="U8" s="453"/>
      <c r="V8" s="455"/>
    </row>
    <row r="9" spans="1:28">
      <c r="B9" s="291">
        <v>301</v>
      </c>
      <c r="C9" s="167">
        <v>713</v>
      </c>
      <c r="D9" s="167"/>
      <c r="E9" s="167"/>
      <c r="F9" s="167"/>
      <c r="G9" s="167"/>
      <c r="H9" s="167"/>
      <c r="I9" s="167"/>
      <c r="J9" s="167"/>
      <c r="K9" s="167"/>
      <c r="L9" s="167">
        <v>713</v>
      </c>
      <c r="M9" s="167"/>
      <c r="N9" s="167"/>
      <c r="O9" s="167"/>
      <c r="P9" s="167"/>
      <c r="Q9" s="167"/>
      <c r="R9" s="167"/>
      <c r="S9" s="167"/>
      <c r="T9" s="167"/>
      <c r="U9" s="292">
        <f t="shared" ref="U9:U12" si="0">SUM(C9:T9)</f>
        <v>1426</v>
      </c>
      <c r="V9" s="293">
        <f t="shared" ref="V9:V14" si="1">U9*$J$36</f>
        <v>432078</v>
      </c>
      <c r="W9" s="116"/>
      <c r="X9" s="132"/>
      <c r="Y9" s="133"/>
      <c r="Z9" s="133"/>
      <c r="AA9" s="133"/>
    </row>
    <row r="10" spans="1:28" s="1" customFormat="1">
      <c r="B10" s="294">
        <v>303</v>
      </c>
      <c r="C10" s="168">
        <v>267</v>
      </c>
      <c r="D10" s="168">
        <v>11</v>
      </c>
      <c r="E10" s="168"/>
      <c r="F10" s="168"/>
      <c r="G10" s="168"/>
      <c r="H10" s="168"/>
      <c r="I10" s="168"/>
      <c r="J10" s="168"/>
      <c r="K10" s="168"/>
      <c r="L10" s="168">
        <v>196</v>
      </c>
      <c r="M10" s="168">
        <v>82</v>
      </c>
      <c r="N10" s="168"/>
      <c r="O10" s="168"/>
      <c r="P10" s="168"/>
      <c r="Q10" s="168"/>
      <c r="R10" s="168"/>
      <c r="S10" s="168"/>
      <c r="T10" s="168"/>
      <c r="U10" s="295">
        <f t="shared" si="0"/>
        <v>556</v>
      </c>
      <c r="V10" s="296">
        <f t="shared" si="1"/>
        <v>168468</v>
      </c>
      <c r="W10" s="297"/>
      <c r="X10" s="132"/>
      <c r="Y10" s="133"/>
      <c r="Z10" s="133"/>
      <c r="AA10" s="133"/>
    </row>
    <row r="11" spans="1:28">
      <c r="B11" s="291">
        <v>304</v>
      </c>
      <c r="C11" s="167">
        <v>173</v>
      </c>
      <c r="D11" s="167">
        <v>17</v>
      </c>
      <c r="E11" s="167"/>
      <c r="F11" s="167"/>
      <c r="G11" s="167"/>
      <c r="H11" s="167"/>
      <c r="I11" s="167"/>
      <c r="J11" s="167"/>
      <c r="K11" s="167"/>
      <c r="L11" s="167">
        <v>153</v>
      </c>
      <c r="M11" s="167">
        <v>37</v>
      </c>
      <c r="N11" s="167"/>
      <c r="O11" s="167"/>
      <c r="P11" s="167"/>
      <c r="Q11" s="167"/>
      <c r="R11" s="167"/>
      <c r="S11" s="167"/>
      <c r="T11" s="167"/>
      <c r="U11" s="292">
        <f t="shared" si="0"/>
        <v>380</v>
      </c>
      <c r="V11" s="293">
        <f t="shared" si="1"/>
        <v>115140</v>
      </c>
      <c r="W11" s="116"/>
      <c r="AA11" s="133"/>
    </row>
    <row r="12" spans="1:28">
      <c r="B12" s="291">
        <v>308</v>
      </c>
      <c r="C12" s="281">
        <v>170</v>
      </c>
      <c r="D12" s="167">
        <v>1</v>
      </c>
      <c r="E12" s="167"/>
      <c r="F12" s="167"/>
      <c r="G12" s="167"/>
      <c r="H12" s="167"/>
      <c r="I12" s="167"/>
      <c r="J12" s="167"/>
      <c r="K12" s="167"/>
      <c r="L12" s="281">
        <v>167</v>
      </c>
      <c r="M12" s="167">
        <v>4</v>
      </c>
      <c r="N12" s="167"/>
      <c r="O12" s="167"/>
      <c r="P12" s="167"/>
      <c r="Q12" s="167"/>
      <c r="R12" s="167"/>
      <c r="S12" s="167"/>
      <c r="T12" s="167"/>
      <c r="U12" s="292">
        <f t="shared" si="0"/>
        <v>342</v>
      </c>
      <c r="V12" s="293">
        <f t="shared" si="1"/>
        <v>103626</v>
      </c>
      <c r="W12" s="116"/>
      <c r="AA12" s="133"/>
    </row>
    <row r="13" spans="1:28">
      <c r="B13" s="291">
        <v>347</v>
      </c>
      <c r="C13" s="281">
        <v>113</v>
      </c>
      <c r="D13" s="281">
        <v>16</v>
      </c>
      <c r="E13" s="167">
        <v>47</v>
      </c>
      <c r="F13" s="281">
        <v>93</v>
      </c>
      <c r="G13" s="281">
        <v>27</v>
      </c>
      <c r="H13" s="167">
        <v>55</v>
      </c>
      <c r="I13" s="167">
        <v>93</v>
      </c>
      <c r="J13" s="281">
        <v>27</v>
      </c>
      <c r="K13" s="281">
        <v>55</v>
      </c>
      <c r="L13" s="281">
        <v>113</v>
      </c>
      <c r="M13" s="281">
        <v>16</v>
      </c>
      <c r="N13" s="167">
        <v>47</v>
      </c>
      <c r="O13" s="167">
        <v>156</v>
      </c>
      <c r="P13" s="281">
        <v>34</v>
      </c>
      <c r="Q13" s="281">
        <v>138</v>
      </c>
      <c r="R13" s="281">
        <v>128</v>
      </c>
      <c r="S13" s="281">
        <v>52</v>
      </c>
      <c r="T13" s="167">
        <v>148</v>
      </c>
      <c r="U13" s="292">
        <f>SUM(C13:T13)</f>
        <v>1358</v>
      </c>
      <c r="V13" s="293">
        <f t="shared" si="1"/>
        <v>411474</v>
      </c>
      <c r="W13" s="116"/>
      <c r="X13" s="132"/>
      <c r="Y13" s="133"/>
      <c r="Z13" s="133"/>
      <c r="AA13" s="133"/>
    </row>
    <row r="14" spans="1:28">
      <c r="B14" s="291" t="s">
        <v>180</v>
      </c>
      <c r="C14" s="281">
        <v>182</v>
      </c>
      <c r="D14" s="281">
        <v>18</v>
      </c>
      <c r="E14" s="167"/>
      <c r="F14" s="167">
        <v>155</v>
      </c>
      <c r="G14" s="281">
        <v>44</v>
      </c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292">
        <f t="shared" ref="U14:U15" si="2">SUM(C14:T14)</f>
        <v>399</v>
      </c>
      <c r="V14" s="293">
        <f t="shared" si="1"/>
        <v>120897</v>
      </c>
      <c r="W14" s="116"/>
      <c r="X14" s="134"/>
      <c r="Y14" s="133"/>
      <c r="Z14" s="133"/>
      <c r="AA14" s="133"/>
    </row>
    <row r="15" spans="1:28">
      <c r="B15" s="291" t="s">
        <v>181</v>
      </c>
      <c r="C15" s="167"/>
      <c r="D15" s="167"/>
      <c r="E15" s="167"/>
      <c r="F15" s="167">
        <v>307</v>
      </c>
      <c r="G15" s="167">
        <v>87</v>
      </c>
      <c r="H15" s="167"/>
      <c r="I15" s="167">
        <v>311</v>
      </c>
      <c r="J15" s="281">
        <v>83</v>
      </c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292">
        <f t="shared" si="2"/>
        <v>788</v>
      </c>
      <c r="V15" s="293">
        <f>U15*$J$37</f>
        <v>228520</v>
      </c>
    </row>
    <row r="16" spans="1:28">
      <c r="B16" s="298" t="s">
        <v>0</v>
      </c>
      <c r="C16" s="454">
        <f>SUM(C9:E15)</f>
        <v>1728</v>
      </c>
      <c r="D16" s="454"/>
      <c r="E16" s="454"/>
      <c r="F16" s="454">
        <f>SUM(F9:H15)</f>
        <v>768</v>
      </c>
      <c r="G16" s="454"/>
      <c r="H16" s="454"/>
      <c r="I16" s="454">
        <f>SUM(I9:K15)</f>
        <v>569</v>
      </c>
      <c r="J16" s="454"/>
      <c r="K16" s="454"/>
      <c r="L16" s="454">
        <f>SUM(L9:N15)</f>
        <v>1528</v>
      </c>
      <c r="M16" s="454"/>
      <c r="N16" s="454"/>
      <c r="O16" s="454">
        <f>SUM(O9:Q15)</f>
        <v>328</v>
      </c>
      <c r="P16" s="454"/>
      <c r="Q16" s="454"/>
      <c r="R16" s="454">
        <f>SUM(R9:T15)</f>
        <v>328</v>
      </c>
      <c r="S16" s="454"/>
      <c r="T16" s="454"/>
      <c r="U16" s="299">
        <f>SUM(U9:U15)</f>
        <v>5249</v>
      </c>
      <c r="V16" s="300">
        <f>SUM(V9:V15)</f>
        <v>1580203</v>
      </c>
      <c r="W16" s="86"/>
      <c r="AB16" s="123"/>
    </row>
    <row r="17" spans="2:28">
      <c r="B17" s="316" t="s">
        <v>287</v>
      </c>
      <c r="C17" s="468">
        <f>SUM(C9:E14)*$J$36+SUM(C15:E15)*$J$37</f>
        <v>523584</v>
      </c>
      <c r="D17" s="468"/>
      <c r="E17" s="468"/>
      <c r="F17" s="468">
        <f>SUM(F9:H14)*$J$36+SUM(F15:H15)*$J$37</f>
        <v>227582</v>
      </c>
      <c r="G17" s="468"/>
      <c r="H17" s="468"/>
      <c r="I17" s="468">
        <f>SUM(I9:K14)*$J$36+SUM(I15:K15)*$J$37</f>
        <v>167285</v>
      </c>
      <c r="J17" s="468"/>
      <c r="K17" s="468"/>
      <c r="L17" s="468">
        <f>SUM(L9:N14)*$J$36+SUM(L15:N15)*$J$37</f>
        <v>462984</v>
      </c>
      <c r="M17" s="468"/>
      <c r="N17" s="468"/>
      <c r="O17" s="468">
        <f>SUM(O9:Q14)*$J$36+SUM(O15:Q15)*$J$37</f>
        <v>99384</v>
      </c>
      <c r="P17" s="468"/>
      <c r="Q17" s="468"/>
      <c r="R17" s="468">
        <f>SUM(R9:T14)*$J$36+SUM(R15:T15)*$J$37</f>
        <v>99384</v>
      </c>
      <c r="S17" s="468"/>
      <c r="T17" s="468"/>
      <c r="U17" s="317">
        <f>SUM(C17:T17)</f>
        <v>1580203</v>
      </c>
      <c r="V17" s="171"/>
      <c r="W17" s="86"/>
      <c r="AB17" s="123"/>
    </row>
    <row r="18" spans="2:28">
      <c r="B18" s="169" t="s">
        <v>182</v>
      </c>
      <c r="C18" s="301"/>
      <c r="D18" s="302"/>
      <c r="E18" s="302"/>
      <c r="F18" s="301"/>
      <c r="G18" s="302"/>
      <c r="H18" s="302"/>
      <c r="I18" s="301"/>
      <c r="J18" s="302"/>
      <c r="K18" s="302"/>
      <c r="L18" s="301"/>
      <c r="M18" s="302"/>
      <c r="N18" s="302"/>
      <c r="O18" s="301"/>
      <c r="P18" s="302"/>
      <c r="Q18" s="302"/>
      <c r="R18" s="301"/>
      <c r="S18" s="302"/>
      <c r="T18" s="302"/>
      <c r="U18" s="170"/>
      <c r="V18" s="171"/>
      <c r="W18" s="86"/>
      <c r="AB18" s="123"/>
    </row>
    <row r="19" spans="2:28" ht="28.95" customHeight="1">
      <c r="B19" s="469" t="s">
        <v>190</v>
      </c>
      <c r="C19" s="469"/>
      <c r="D19" s="469"/>
      <c r="E19" s="469"/>
      <c r="F19" s="469"/>
      <c r="G19" s="469"/>
      <c r="H19" s="469"/>
      <c r="I19" s="469"/>
      <c r="J19" s="469"/>
      <c r="K19" s="469"/>
      <c r="L19" s="469"/>
      <c r="M19" s="469"/>
      <c r="N19" s="469"/>
      <c r="O19" s="469"/>
      <c r="P19" s="469"/>
      <c r="Q19" s="469"/>
      <c r="R19" s="469"/>
      <c r="S19" s="469"/>
      <c r="T19" s="469"/>
      <c r="U19" s="469"/>
      <c r="V19" s="469"/>
      <c r="AB19" s="123"/>
    </row>
    <row r="20" spans="2:28" ht="6.6" customHeight="1">
      <c r="V20" s="145"/>
    </row>
    <row r="21" spans="2:28" ht="21">
      <c r="B21" s="288" t="s">
        <v>278</v>
      </c>
      <c r="C21" s="288"/>
      <c r="D21" s="289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303"/>
      <c r="W21" s="304"/>
      <c r="X21" s="283"/>
      <c r="Y21" s="283"/>
    </row>
    <row r="22" spans="2:28" ht="30.75" customHeight="1">
      <c r="B22" s="450" t="s">
        <v>136</v>
      </c>
      <c r="C22" s="459" t="s">
        <v>154</v>
      </c>
      <c r="D22" s="459"/>
      <c r="E22" s="459"/>
      <c r="F22" s="459"/>
      <c r="G22" s="459"/>
      <c r="H22" s="459"/>
      <c r="I22" s="459"/>
      <c r="J22" s="459"/>
      <c r="K22" s="459"/>
      <c r="L22" s="459"/>
      <c r="M22" s="459"/>
      <c r="N22" s="459"/>
      <c r="O22" s="459"/>
      <c r="P22" s="459"/>
      <c r="Q22" s="459"/>
      <c r="R22" s="459"/>
      <c r="S22" s="459"/>
      <c r="T22" s="459"/>
      <c r="U22" s="459"/>
      <c r="V22" s="290"/>
    </row>
    <row r="23" spans="2:28" ht="28.95" customHeight="1">
      <c r="B23" s="450"/>
      <c r="C23" s="452" t="s">
        <v>275</v>
      </c>
      <c r="D23" s="452"/>
      <c r="E23" s="452"/>
      <c r="F23" s="452"/>
      <c r="G23" s="452"/>
      <c r="H23" s="452"/>
      <c r="I23" s="452" t="s">
        <v>276</v>
      </c>
      <c r="J23" s="452"/>
      <c r="K23" s="452"/>
      <c r="L23" s="452"/>
      <c r="M23" s="452"/>
      <c r="N23" s="452"/>
      <c r="O23" s="452" t="s">
        <v>277</v>
      </c>
      <c r="P23" s="452"/>
      <c r="Q23" s="452"/>
      <c r="R23" s="452"/>
      <c r="S23" s="452"/>
      <c r="T23" s="452"/>
      <c r="U23" s="453" t="s">
        <v>0</v>
      </c>
      <c r="V23" s="455" t="s">
        <v>179</v>
      </c>
    </row>
    <row r="24" spans="2:28" ht="14.4" customHeight="1">
      <c r="B24" s="450"/>
      <c r="C24" s="452"/>
      <c r="D24" s="452"/>
      <c r="E24" s="452"/>
      <c r="F24" s="452"/>
      <c r="G24" s="452"/>
      <c r="H24" s="452"/>
      <c r="I24" s="452"/>
      <c r="J24" s="452"/>
      <c r="K24" s="452"/>
      <c r="L24" s="452"/>
      <c r="M24" s="452"/>
      <c r="N24" s="452"/>
      <c r="O24" s="452"/>
      <c r="P24" s="452"/>
      <c r="Q24" s="452"/>
      <c r="R24" s="452"/>
      <c r="S24" s="452"/>
      <c r="T24" s="452"/>
      <c r="U24" s="453"/>
      <c r="V24" s="455"/>
    </row>
    <row r="25" spans="2:28" ht="40.200000000000003" customHeight="1">
      <c r="B25" s="450"/>
      <c r="C25" s="470" t="s">
        <v>158</v>
      </c>
      <c r="D25" s="470"/>
      <c r="E25" s="470"/>
      <c r="F25" s="470" t="s">
        <v>159</v>
      </c>
      <c r="G25" s="470"/>
      <c r="H25" s="470"/>
      <c r="I25" s="470" t="s">
        <v>158</v>
      </c>
      <c r="J25" s="470"/>
      <c r="K25" s="470"/>
      <c r="L25" s="470" t="s">
        <v>159</v>
      </c>
      <c r="M25" s="470"/>
      <c r="N25" s="470"/>
      <c r="O25" s="470" t="s">
        <v>158</v>
      </c>
      <c r="P25" s="470"/>
      <c r="Q25" s="470"/>
      <c r="R25" s="470" t="s">
        <v>159</v>
      </c>
      <c r="S25" s="470"/>
      <c r="T25" s="470"/>
      <c r="U25" s="453"/>
      <c r="V25" s="455"/>
    </row>
    <row r="26" spans="2:28">
      <c r="B26" s="305">
        <v>28</v>
      </c>
      <c r="C26" s="39">
        <v>216</v>
      </c>
      <c r="D26" s="39">
        <v>178</v>
      </c>
      <c r="E26" s="39"/>
      <c r="F26" s="39">
        <v>178</v>
      </c>
      <c r="G26" s="39">
        <v>216</v>
      </c>
      <c r="H26" s="39"/>
      <c r="I26" s="39">
        <f>F26</f>
        <v>178</v>
      </c>
      <c r="J26" s="39">
        <f>G26</f>
        <v>216</v>
      </c>
      <c r="K26" s="39"/>
      <c r="L26" s="39">
        <f>C26</f>
        <v>216</v>
      </c>
      <c r="M26" s="39">
        <f>D26</f>
        <v>178</v>
      </c>
      <c r="N26" s="39"/>
      <c r="O26" s="39">
        <v>249</v>
      </c>
      <c r="P26" s="39">
        <v>310</v>
      </c>
      <c r="Q26" s="39"/>
      <c r="R26" s="39">
        <v>310</v>
      </c>
      <c r="S26" s="39">
        <v>249</v>
      </c>
      <c r="T26" s="39"/>
      <c r="U26" s="292">
        <f t="shared" ref="U26:U30" si="3">SUM(C26:T26)</f>
        <v>2694</v>
      </c>
      <c r="V26" s="293">
        <f>U26*$J$36</f>
        <v>816282</v>
      </c>
    </row>
    <row r="27" spans="2:28">
      <c r="B27" s="305" t="s">
        <v>183</v>
      </c>
      <c r="C27" s="39"/>
      <c r="D27" s="39"/>
      <c r="E27" s="39"/>
      <c r="F27" s="39">
        <v>507</v>
      </c>
      <c r="G27" s="39">
        <v>619</v>
      </c>
      <c r="H27" s="39"/>
      <c r="I27" s="39">
        <v>399</v>
      </c>
      <c r="J27" s="39">
        <v>727</v>
      </c>
      <c r="K27" s="39"/>
      <c r="L27" s="39"/>
      <c r="M27" s="39"/>
      <c r="N27" s="39"/>
      <c r="O27" s="39">
        <v>548</v>
      </c>
      <c r="P27" s="39">
        <v>851</v>
      </c>
      <c r="Q27" s="39"/>
      <c r="R27" s="39">
        <v>925</v>
      </c>
      <c r="S27" s="39">
        <v>474</v>
      </c>
      <c r="T27" s="39"/>
      <c r="U27" s="295">
        <f t="shared" si="3"/>
        <v>5050</v>
      </c>
      <c r="V27" s="296">
        <f>U27*$J$36</f>
        <v>1530150</v>
      </c>
    </row>
    <row r="28" spans="2:28">
      <c r="B28" s="305" t="s">
        <v>184</v>
      </c>
      <c r="C28" s="39"/>
      <c r="D28" s="39"/>
      <c r="E28" s="39"/>
      <c r="F28" s="39">
        <v>224</v>
      </c>
      <c r="G28" s="39">
        <v>366</v>
      </c>
      <c r="H28" s="39"/>
      <c r="I28" s="39">
        <v>179</v>
      </c>
      <c r="J28" s="39">
        <v>224</v>
      </c>
      <c r="K28" s="39"/>
      <c r="L28" s="39"/>
      <c r="M28" s="39"/>
      <c r="N28" s="39"/>
      <c r="O28" s="39">
        <v>430</v>
      </c>
      <c r="P28" s="39">
        <v>780</v>
      </c>
      <c r="Q28" s="39"/>
      <c r="R28" s="39">
        <v>793</v>
      </c>
      <c r="S28" s="39">
        <v>416</v>
      </c>
      <c r="T28" s="39"/>
      <c r="U28" s="292">
        <f t="shared" si="3"/>
        <v>3412</v>
      </c>
      <c r="V28" s="293">
        <f>U28*$J$36</f>
        <v>1033836</v>
      </c>
    </row>
    <row r="29" spans="2:28">
      <c r="B29" s="305" t="s">
        <v>185</v>
      </c>
      <c r="C29" s="39">
        <v>1017</v>
      </c>
      <c r="D29" s="39">
        <v>1017</v>
      </c>
      <c r="E29" s="39"/>
      <c r="F29" s="39">
        <v>136</v>
      </c>
      <c r="G29" s="39">
        <v>136</v>
      </c>
      <c r="H29" s="39"/>
      <c r="I29" s="39">
        <v>136</v>
      </c>
      <c r="J29" s="39">
        <v>136</v>
      </c>
      <c r="K29" s="39"/>
      <c r="L29" s="39">
        <v>1017</v>
      </c>
      <c r="M29" s="39">
        <v>1017</v>
      </c>
      <c r="N29" s="39"/>
      <c r="O29" s="39">
        <v>775</v>
      </c>
      <c r="P29" s="39">
        <v>775</v>
      </c>
      <c r="Q29" s="39"/>
      <c r="R29" s="39">
        <v>683</v>
      </c>
      <c r="S29" s="39">
        <v>683</v>
      </c>
      <c r="T29" s="39"/>
      <c r="U29" s="292">
        <f t="shared" si="3"/>
        <v>7528</v>
      </c>
      <c r="V29" s="293">
        <f>U29*$J$36</f>
        <v>2280984</v>
      </c>
    </row>
    <row r="30" spans="2:28">
      <c r="B30" s="305" t="s">
        <v>186</v>
      </c>
      <c r="C30" s="39">
        <v>1017</v>
      </c>
      <c r="D30" s="39">
        <v>1017</v>
      </c>
      <c r="E30" s="39"/>
      <c r="F30" s="39">
        <v>138</v>
      </c>
      <c r="G30" s="39">
        <v>138</v>
      </c>
      <c r="H30" s="39"/>
      <c r="I30" s="39"/>
      <c r="J30" s="39"/>
      <c r="K30" s="39"/>
      <c r="L30" s="39"/>
      <c r="M30" s="39"/>
      <c r="N30" s="39"/>
      <c r="O30" s="39">
        <v>775</v>
      </c>
      <c r="P30" s="39">
        <v>775</v>
      </c>
      <c r="Q30" s="39"/>
      <c r="R30" s="39">
        <v>702</v>
      </c>
      <c r="S30" s="39">
        <v>702</v>
      </c>
      <c r="T30" s="39"/>
      <c r="U30" s="292">
        <f t="shared" si="3"/>
        <v>5264</v>
      </c>
      <c r="V30" s="293">
        <f>U30*$J$36</f>
        <v>1594992</v>
      </c>
    </row>
    <row r="31" spans="2:28" hidden="1">
      <c r="B31" s="306" t="s">
        <v>187</v>
      </c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307" t="s">
        <v>188</v>
      </c>
      <c r="V31" s="293"/>
    </row>
    <row r="32" spans="2:28" hidden="1">
      <c r="B32" s="306" t="s">
        <v>189</v>
      </c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307" t="s">
        <v>188</v>
      </c>
      <c r="V32" s="293"/>
    </row>
    <row r="33" spans="2:22">
      <c r="B33" s="298" t="s">
        <v>0</v>
      </c>
      <c r="C33" s="454">
        <f>SUM(C26:E30)</f>
        <v>4462</v>
      </c>
      <c r="D33" s="454"/>
      <c r="E33" s="454"/>
      <c r="F33" s="454">
        <f>SUM(F26:H30)</f>
        <v>2658</v>
      </c>
      <c r="G33" s="454"/>
      <c r="H33" s="454"/>
      <c r="I33" s="454">
        <f>SUM(I26:K30)</f>
        <v>2195</v>
      </c>
      <c r="J33" s="454"/>
      <c r="K33" s="454"/>
      <c r="L33" s="454">
        <f>SUM(L26:N30)</f>
        <v>2428</v>
      </c>
      <c r="M33" s="454"/>
      <c r="N33" s="454"/>
      <c r="O33" s="454">
        <f>SUM(O26:Q30)</f>
        <v>6268</v>
      </c>
      <c r="P33" s="454"/>
      <c r="Q33" s="454"/>
      <c r="R33" s="454">
        <f>SUM(R26:T30)</f>
        <v>5937</v>
      </c>
      <c r="S33" s="454"/>
      <c r="T33" s="454"/>
      <c r="U33" s="299">
        <f>SUM(U26:U30)</f>
        <v>23948</v>
      </c>
      <c r="V33" s="300">
        <f>SUM(V26:V32)</f>
        <v>7256244</v>
      </c>
    </row>
    <row r="34" spans="2:22">
      <c r="B34" s="316" t="s">
        <v>287</v>
      </c>
      <c r="C34" s="468">
        <f>SUM(C26:E30)*$J$36</f>
        <v>1351986</v>
      </c>
      <c r="D34" s="468"/>
      <c r="E34" s="468"/>
      <c r="F34" s="468">
        <f>SUM(F26:H30)*$J$36</f>
        <v>805374</v>
      </c>
      <c r="G34" s="468"/>
      <c r="H34" s="468"/>
      <c r="I34" s="468">
        <f>SUM(I26:K30)*$J$36</f>
        <v>665085</v>
      </c>
      <c r="J34" s="468"/>
      <c r="K34" s="468"/>
      <c r="L34" s="468">
        <f>SUM(L26:N30)*$J$36</f>
        <v>735684</v>
      </c>
      <c r="M34" s="468"/>
      <c r="N34" s="468"/>
      <c r="O34" s="468">
        <f>SUM(O26:Q30)*$J$36</f>
        <v>1899204</v>
      </c>
      <c r="P34" s="468"/>
      <c r="Q34" s="468"/>
      <c r="R34" s="468">
        <f>SUM(R26:T30)*$J$36</f>
        <v>1798911</v>
      </c>
      <c r="S34" s="468"/>
      <c r="T34" s="468"/>
      <c r="U34" s="317">
        <f>SUM(C34:T34)</f>
        <v>7256244</v>
      </c>
      <c r="V34" s="171"/>
    </row>
    <row r="35" spans="2:22" ht="31.2" customHeight="1">
      <c r="B35" s="469" t="s">
        <v>190</v>
      </c>
      <c r="C35" s="469"/>
      <c r="D35" s="469"/>
      <c r="E35" s="469"/>
      <c r="F35" s="469"/>
      <c r="G35" s="469"/>
      <c r="H35" s="469"/>
      <c r="I35" s="469"/>
      <c r="J35" s="469"/>
      <c r="K35" s="469"/>
      <c r="L35" s="469"/>
      <c r="M35" s="469"/>
      <c r="N35" s="469"/>
      <c r="O35" s="469"/>
      <c r="P35" s="469"/>
      <c r="Q35" s="469"/>
      <c r="R35" s="469"/>
      <c r="S35" s="469"/>
      <c r="T35" s="469"/>
      <c r="U35" s="469"/>
      <c r="V35" s="469"/>
    </row>
    <row r="36" spans="2:22" ht="16.2" customHeight="1">
      <c r="B36" s="132" t="s">
        <v>348</v>
      </c>
      <c r="J36" s="133">
        <v>303</v>
      </c>
    </row>
    <row r="37" spans="2:22">
      <c r="B37" s="132" t="s">
        <v>349</v>
      </c>
      <c r="D37" s="133"/>
      <c r="J37" s="133">
        <v>290</v>
      </c>
    </row>
    <row r="38" spans="2:22" ht="28.2" customHeight="1">
      <c r="B38" s="469" t="s">
        <v>350</v>
      </c>
      <c r="C38" s="469"/>
      <c r="D38" s="469"/>
      <c r="E38" s="469"/>
      <c r="F38" s="469"/>
      <c r="G38" s="469"/>
      <c r="H38" s="469"/>
      <c r="I38" s="469"/>
      <c r="J38" s="469"/>
      <c r="K38" s="469"/>
      <c r="L38" s="469"/>
      <c r="M38" s="469"/>
      <c r="N38" s="469"/>
      <c r="O38" s="469"/>
      <c r="P38" s="469"/>
      <c r="Q38" s="469"/>
      <c r="R38" s="469"/>
      <c r="S38" s="469"/>
      <c r="T38" s="469"/>
      <c r="U38" s="469"/>
      <c r="V38" s="469"/>
    </row>
    <row r="40" spans="2:22">
      <c r="C40" s="459" t="s">
        <v>154</v>
      </c>
      <c r="D40" s="459"/>
      <c r="E40" s="459"/>
      <c r="F40" s="459"/>
      <c r="G40" s="459"/>
      <c r="H40" s="459"/>
      <c r="I40" s="459"/>
      <c r="J40" s="459"/>
      <c r="K40" s="459"/>
      <c r="L40" s="459"/>
      <c r="M40" s="459"/>
      <c r="N40" s="459"/>
      <c r="O40" s="459"/>
      <c r="P40" s="459"/>
      <c r="Q40" s="459"/>
      <c r="R40" s="459"/>
      <c r="S40" s="459"/>
      <c r="T40" s="459"/>
      <c r="U40" s="459"/>
    </row>
    <row r="41" spans="2:22">
      <c r="C41" s="460" t="s">
        <v>275</v>
      </c>
      <c r="D41" s="461"/>
      <c r="E41" s="461"/>
      <c r="F41" s="461"/>
      <c r="G41" s="461"/>
      <c r="H41" s="462"/>
      <c r="I41" s="460" t="s">
        <v>276</v>
      </c>
      <c r="J41" s="461"/>
      <c r="K41" s="461"/>
      <c r="L41" s="461"/>
      <c r="M41" s="461"/>
      <c r="N41" s="462"/>
      <c r="O41" s="460" t="s">
        <v>277</v>
      </c>
      <c r="P41" s="461"/>
      <c r="Q41" s="461"/>
      <c r="R41" s="461"/>
      <c r="S41" s="461"/>
      <c r="T41" s="462"/>
      <c r="U41" s="315" t="s">
        <v>289</v>
      </c>
    </row>
    <row r="42" spans="2:22" ht="15.6">
      <c r="B42" s="308" t="s">
        <v>279</v>
      </c>
      <c r="C42" s="313"/>
      <c r="D42" s="313"/>
      <c r="E42" s="313"/>
      <c r="F42" s="313"/>
      <c r="G42" s="313"/>
      <c r="H42" s="313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</row>
    <row r="43" spans="2:22">
      <c r="B43" s="309" t="s">
        <v>288</v>
      </c>
      <c r="C43" s="456">
        <f>C50*$J$45</f>
        <v>48.891727165028804</v>
      </c>
      <c r="D43" s="457"/>
      <c r="E43" s="458"/>
      <c r="F43" s="456">
        <f>F50*$J$45</f>
        <v>36.16648310837747</v>
      </c>
      <c r="G43" s="457"/>
      <c r="H43" s="458"/>
      <c r="I43" s="456">
        <f>I50*$J$45</f>
        <v>78.360713401484531</v>
      </c>
      <c r="J43" s="457"/>
      <c r="K43" s="458"/>
      <c r="L43" s="456">
        <f>L50*$J$45</f>
        <v>22.10173967734179</v>
      </c>
      <c r="M43" s="457"/>
      <c r="N43" s="458"/>
      <c r="O43" s="456">
        <f>AVERAGE(C43,I43)*$J$46</f>
        <v>24.743530110155373</v>
      </c>
      <c r="P43" s="457"/>
      <c r="Q43" s="458"/>
      <c r="R43" s="456">
        <f>AVERAGE(F43,L43)*$J$47</f>
        <v>6.4742469761910284</v>
      </c>
      <c r="S43" s="457"/>
      <c r="T43" s="458"/>
      <c r="U43" s="299"/>
      <c r="V43" s="171"/>
    </row>
    <row r="44" spans="2:22">
      <c r="B44" s="309" t="s">
        <v>105</v>
      </c>
      <c r="C44" s="454">
        <f>C17*C43/360</f>
        <v>71108.127988817898</v>
      </c>
      <c r="D44" s="454"/>
      <c r="E44" s="454"/>
      <c r="F44" s="454">
        <f>F17*F43/360</f>
        <v>22863.445996585451</v>
      </c>
      <c r="G44" s="454"/>
      <c r="H44" s="454"/>
      <c r="I44" s="454">
        <f>I17*I43/360</f>
        <v>36412.699837131498</v>
      </c>
      <c r="J44" s="454"/>
      <c r="K44" s="454"/>
      <c r="L44" s="454">
        <f>L17*L43/360</f>
        <v>28424.310674373366</v>
      </c>
      <c r="M44" s="454"/>
      <c r="N44" s="454"/>
      <c r="O44" s="454">
        <f>O17*O43/360</f>
        <v>6830.8638790768937</v>
      </c>
      <c r="P44" s="454"/>
      <c r="Q44" s="454"/>
      <c r="R44" s="454">
        <f>R17*R43/360</f>
        <v>1787.3237818938032</v>
      </c>
      <c r="S44" s="454"/>
      <c r="T44" s="454"/>
      <c r="U44" s="299">
        <f>SUM(C44:T44)</f>
        <v>167426.77215787891</v>
      </c>
      <c r="V44" s="171"/>
    </row>
    <row r="45" spans="2:22">
      <c r="B45" s="169" t="s">
        <v>281</v>
      </c>
      <c r="J45" s="318">
        <f>SUMPRODUCT(DelayAuto!C11:D11,DelayAuto!E11:F11)/SUMPRODUCT(DelayAuto!C22:D22,DelayAuto!E22:F22)</f>
        <v>0.66974968719217542</v>
      </c>
      <c r="L45" t="s">
        <v>290</v>
      </c>
    </row>
    <row r="46" spans="2:22">
      <c r="B46" s="169" t="s">
        <v>294</v>
      </c>
      <c r="C46" s="302"/>
      <c r="D46" s="302"/>
      <c r="E46" s="302"/>
      <c r="F46" s="302"/>
      <c r="G46" s="302"/>
      <c r="H46" s="302"/>
      <c r="I46" s="302"/>
      <c r="J46" s="331">
        <f>Diurnal!U33</f>
        <v>0.3888888888888889</v>
      </c>
      <c r="L46" t="s">
        <v>351</v>
      </c>
    </row>
    <row r="47" spans="2:22">
      <c r="B47" s="169" t="s">
        <v>295</v>
      </c>
      <c r="C47" s="302"/>
      <c r="D47" s="302"/>
      <c r="E47" s="302"/>
      <c r="F47" s="302"/>
      <c r="G47" s="302"/>
      <c r="H47" s="302"/>
      <c r="I47" s="302"/>
      <c r="J47" s="331">
        <f>Diurnal!U25</f>
        <v>0.22222222222222221</v>
      </c>
      <c r="L47" t="s">
        <v>351</v>
      </c>
    </row>
    <row r="49" spans="2:21" ht="15.6">
      <c r="B49" s="308" t="s">
        <v>282</v>
      </c>
    </row>
    <row r="50" spans="2:21">
      <c r="B50" s="309" t="s">
        <v>343</v>
      </c>
      <c r="C50" s="463">
        <v>73</v>
      </c>
      <c r="D50" s="463"/>
      <c r="E50" s="463"/>
      <c r="F50" s="463">
        <v>54</v>
      </c>
      <c r="G50" s="463"/>
      <c r="H50" s="463"/>
      <c r="I50" s="463">
        <v>117</v>
      </c>
      <c r="J50" s="463"/>
      <c r="K50" s="463"/>
      <c r="L50" s="463">
        <v>33</v>
      </c>
      <c r="M50" s="463"/>
      <c r="N50" s="463"/>
      <c r="O50" s="456">
        <f>AVERAGE(C50,I50)*$J$46</f>
        <v>36.944444444444443</v>
      </c>
      <c r="P50" s="457"/>
      <c r="Q50" s="458"/>
      <c r="R50" s="456">
        <f>AVERAGE(F50,L50)*$J$47</f>
        <v>9.6666666666666661</v>
      </c>
      <c r="S50" s="457"/>
      <c r="T50" s="458"/>
      <c r="U50" s="299"/>
    </row>
    <row r="51" spans="2:21">
      <c r="B51" s="309" t="s">
        <v>105</v>
      </c>
      <c r="C51" s="464">
        <f>C34*C50/360</f>
        <v>274152.71666666667</v>
      </c>
      <c r="D51" s="464"/>
      <c r="E51" s="464"/>
      <c r="F51" s="464">
        <f>F34*F50/360</f>
        <v>120806.1</v>
      </c>
      <c r="G51" s="464"/>
      <c r="H51" s="464"/>
      <c r="I51" s="464">
        <f>I34*I50/360</f>
        <v>216152.625</v>
      </c>
      <c r="J51" s="464"/>
      <c r="K51" s="464"/>
      <c r="L51" s="464">
        <f>L34*L50/360</f>
        <v>67437.7</v>
      </c>
      <c r="M51" s="464"/>
      <c r="N51" s="464"/>
      <c r="O51" s="464">
        <f>O34*O50/360</f>
        <v>194902.87962962961</v>
      </c>
      <c r="P51" s="464"/>
      <c r="Q51" s="464"/>
      <c r="R51" s="464">
        <f>R34*R50/360</f>
        <v>48304.091666666667</v>
      </c>
      <c r="S51" s="464"/>
      <c r="T51" s="464"/>
      <c r="U51" s="312">
        <f>SUM(C51:T51)</f>
        <v>921756.11296296294</v>
      </c>
    </row>
    <row r="53" spans="2:21" ht="15.6">
      <c r="B53" s="308" t="s">
        <v>286</v>
      </c>
    </row>
    <row r="54" spans="2:21">
      <c r="B54" s="309" t="s">
        <v>343</v>
      </c>
      <c r="C54" s="465">
        <v>11.7</v>
      </c>
      <c r="D54" s="465"/>
      <c r="E54" s="465"/>
      <c r="F54" s="465">
        <v>34</v>
      </c>
      <c r="G54" s="465"/>
      <c r="H54" s="465"/>
      <c r="I54" s="465">
        <v>17.3</v>
      </c>
      <c r="J54" s="465"/>
      <c r="K54" s="465"/>
      <c r="L54" s="465">
        <v>21.8</v>
      </c>
      <c r="M54" s="465"/>
      <c r="N54" s="465"/>
      <c r="O54" s="456">
        <f>AVERAGE(C54,I54)*$J$46</f>
        <v>5.6388888888888893</v>
      </c>
      <c r="P54" s="457"/>
      <c r="Q54" s="458"/>
      <c r="R54" s="456">
        <f>AVERAGE(F54,L54)*$J$47</f>
        <v>6.1999999999999993</v>
      </c>
      <c r="S54" s="457"/>
      <c r="T54" s="458"/>
      <c r="U54" s="299"/>
    </row>
    <row r="55" spans="2:21">
      <c r="B55" s="309" t="s">
        <v>105</v>
      </c>
      <c r="C55" s="454">
        <f>C34*C54/360</f>
        <v>43939.544999999998</v>
      </c>
      <c r="D55" s="454"/>
      <c r="E55" s="454"/>
      <c r="F55" s="467">
        <f>F34*F54/360</f>
        <v>76063.100000000006</v>
      </c>
      <c r="G55" s="454"/>
      <c r="H55" s="454"/>
      <c r="I55" s="467">
        <f>I34*I54/360</f>
        <v>31961.029166666667</v>
      </c>
      <c r="J55" s="454"/>
      <c r="K55" s="454"/>
      <c r="L55" s="467">
        <f>L34*L54/360</f>
        <v>44549.753333333334</v>
      </c>
      <c r="M55" s="454"/>
      <c r="N55" s="454"/>
      <c r="O55" s="467">
        <f>O34*O54/360</f>
        <v>29748.33425925926</v>
      </c>
      <c r="P55" s="454"/>
      <c r="Q55" s="454"/>
      <c r="R55" s="467">
        <f>R34*R54/360</f>
        <v>30981.244999999999</v>
      </c>
      <c r="S55" s="454"/>
      <c r="T55" s="454"/>
      <c r="U55" s="312">
        <f>SUM(C55:T55)</f>
        <v>257243.00675925924</v>
      </c>
    </row>
    <row r="56" spans="2:21">
      <c r="B56" s="169"/>
      <c r="C56" s="466"/>
      <c r="D56" s="466"/>
      <c r="E56" s="466"/>
      <c r="F56" s="466"/>
      <c r="G56" s="466"/>
      <c r="H56" s="466"/>
      <c r="I56" s="466"/>
      <c r="J56" s="466"/>
      <c r="K56" s="466"/>
      <c r="L56" s="466"/>
      <c r="M56" s="466"/>
      <c r="N56" s="466"/>
      <c r="O56" s="466"/>
      <c r="P56" s="466"/>
      <c r="Q56" s="466"/>
      <c r="R56" s="466"/>
      <c r="S56" s="466"/>
      <c r="T56" s="466"/>
      <c r="U56" s="310"/>
    </row>
    <row r="57" spans="2:21" ht="15.6">
      <c r="B57" s="308" t="s">
        <v>283</v>
      </c>
    </row>
    <row r="58" spans="2:21">
      <c r="B58" s="269" t="s">
        <v>284</v>
      </c>
      <c r="U58" s="311">
        <f>(U$51/U$44)^(1/26)-1</f>
        <v>6.7805039629230235E-2</v>
      </c>
    </row>
    <row r="59" spans="2:21">
      <c r="B59" s="309" t="s">
        <v>280</v>
      </c>
      <c r="U59" s="312">
        <f>(1+U58)^(2025-2016)*U$44</f>
        <v>302170.87388186937</v>
      </c>
    </row>
    <row r="61" spans="2:21" ht="15.6">
      <c r="B61" s="308" t="s">
        <v>285</v>
      </c>
      <c r="U61" s="311">
        <f>(U$55/U$44)^(1/26)-1</f>
        <v>1.6655454634334488E-2</v>
      </c>
    </row>
    <row r="62" spans="2:21">
      <c r="B62" s="309" t="s">
        <v>280</v>
      </c>
      <c r="U62" s="312">
        <f>(1+U61)^(2025-2016)*U$44</f>
        <v>194262.53889946517</v>
      </c>
    </row>
    <row r="63" spans="2:21">
      <c r="B63" s="173" t="s">
        <v>347</v>
      </c>
    </row>
  </sheetData>
  <mergeCells count="99">
    <mergeCell ref="R25:T25"/>
    <mergeCell ref="B22:B25"/>
    <mergeCell ref="C22:U22"/>
    <mergeCell ref="C23:H24"/>
    <mergeCell ref="I23:N24"/>
    <mergeCell ref="O23:T24"/>
    <mergeCell ref="U23:U25"/>
    <mergeCell ref="R17:T17"/>
    <mergeCell ref="B38:V38"/>
    <mergeCell ref="V23:V25"/>
    <mergeCell ref="C25:E25"/>
    <mergeCell ref="F25:H25"/>
    <mergeCell ref="I25:K25"/>
    <mergeCell ref="L25:N25"/>
    <mergeCell ref="O25:Q25"/>
    <mergeCell ref="B19:V19"/>
    <mergeCell ref="B35:V35"/>
    <mergeCell ref="C34:E34"/>
    <mergeCell ref="F34:H34"/>
    <mergeCell ref="I34:K34"/>
    <mergeCell ref="L34:N34"/>
    <mergeCell ref="O34:Q34"/>
    <mergeCell ref="R34:T34"/>
    <mergeCell ref="C17:E17"/>
    <mergeCell ref="F17:H17"/>
    <mergeCell ref="I17:K17"/>
    <mergeCell ref="L17:N17"/>
    <mergeCell ref="O17:Q17"/>
    <mergeCell ref="R56:T56"/>
    <mergeCell ref="C55:E55"/>
    <mergeCell ref="F55:H55"/>
    <mergeCell ref="I55:K55"/>
    <mergeCell ref="L55:N55"/>
    <mergeCell ref="O55:Q55"/>
    <mergeCell ref="R55:T55"/>
    <mergeCell ref="C56:E56"/>
    <mergeCell ref="F56:H56"/>
    <mergeCell ref="I56:K56"/>
    <mergeCell ref="L56:N56"/>
    <mergeCell ref="O56:Q56"/>
    <mergeCell ref="R54:T54"/>
    <mergeCell ref="C51:E51"/>
    <mergeCell ref="F51:H51"/>
    <mergeCell ref="I51:K51"/>
    <mergeCell ref="L51:N51"/>
    <mergeCell ref="O51:Q51"/>
    <mergeCell ref="R51:T51"/>
    <mergeCell ref="C54:E54"/>
    <mergeCell ref="F54:H54"/>
    <mergeCell ref="I54:K54"/>
    <mergeCell ref="L54:N54"/>
    <mergeCell ref="O54:Q54"/>
    <mergeCell ref="R50:T50"/>
    <mergeCell ref="C44:E44"/>
    <mergeCell ref="F44:H44"/>
    <mergeCell ref="I44:K44"/>
    <mergeCell ref="L44:N44"/>
    <mergeCell ref="O44:Q44"/>
    <mergeCell ref="R44:T44"/>
    <mergeCell ref="C50:E50"/>
    <mergeCell ref="F50:H50"/>
    <mergeCell ref="I50:K50"/>
    <mergeCell ref="L50:N50"/>
    <mergeCell ref="O50:Q50"/>
    <mergeCell ref="R43:T43"/>
    <mergeCell ref="C40:U40"/>
    <mergeCell ref="C33:E33"/>
    <mergeCell ref="F33:H33"/>
    <mergeCell ref="I33:K33"/>
    <mergeCell ref="L33:N33"/>
    <mergeCell ref="O33:Q33"/>
    <mergeCell ref="R33:T33"/>
    <mergeCell ref="C43:E43"/>
    <mergeCell ref="F43:H43"/>
    <mergeCell ref="I43:K43"/>
    <mergeCell ref="L43:N43"/>
    <mergeCell ref="O43:Q43"/>
    <mergeCell ref="C41:H41"/>
    <mergeCell ref="I41:N41"/>
    <mergeCell ref="O41:T41"/>
    <mergeCell ref="R16:T16"/>
    <mergeCell ref="V6:V8"/>
    <mergeCell ref="C8:E8"/>
    <mergeCell ref="F8:H8"/>
    <mergeCell ref="I8:K8"/>
    <mergeCell ref="L8:N8"/>
    <mergeCell ref="O8:Q8"/>
    <mergeCell ref="R8:T8"/>
    <mergeCell ref="C16:E16"/>
    <mergeCell ref="F16:H16"/>
    <mergeCell ref="I16:K16"/>
    <mergeCell ref="L16:N16"/>
    <mergeCell ref="O16:Q16"/>
    <mergeCell ref="B5:B8"/>
    <mergeCell ref="C5:U5"/>
    <mergeCell ref="C6:H7"/>
    <mergeCell ref="I6:N7"/>
    <mergeCell ref="O6:T7"/>
    <mergeCell ref="U6:U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32C17-FB0C-4A69-B4CF-4F2D2FB6328C}">
  <dimension ref="A3:AE25"/>
  <sheetViews>
    <sheetView zoomScale="80" zoomScaleNormal="80" workbookViewId="0">
      <selection activeCell="B2" sqref="B2:B18"/>
    </sheetView>
  </sheetViews>
  <sheetFormatPr defaultRowHeight="14.4"/>
  <cols>
    <col min="1" max="1" width="1.88671875" customWidth="1"/>
    <col min="2" max="2" width="37.109375" customWidth="1"/>
    <col min="3" max="3" width="11" customWidth="1"/>
    <col min="4" max="4" width="12" customWidth="1"/>
    <col min="5" max="5" width="11.109375" customWidth="1"/>
    <col min="6" max="6" width="11.6640625" customWidth="1"/>
    <col min="8" max="8" width="8.33203125" customWidth="1"/>
    <col min="9" max="9" width="12.6640625" customWidth="1"/>
    <col min="10" max="10" width="1.88671875" customWidth="1"/>
    <col min="11" max="11" width="37.88671875" customWidth="1"/>
    <col min="12" max="29" width="4.6640625" customWidth="1"/>
    <col min="30" max="30" width="8.44140625" customWidth="1"/>
    <col min="31" max="31" width="18" customWidth="1"/>
  </cols>
  <sheetData>
    <row r="3" spans="1:31">
      <c r="B3" s="8" t="s">
        <v>134</v>
      </c>
      <c r="K3" s="8" t="s">
        <v>153</v>
      </c>
    </row>
    <row r="4" spans="1:31">
      <c r="A4" s="8"/>
    </row>
    <row r="5" spans="1:31" ht="21.6" thickBot="1">
      <c r="C5" s="485" t="s">
        <v>135</v>
      </c>
      <c r="D5" s="486"/>
      <c r="G5" s="487"/>
      <c r="H5" s="488"/>
      <c r="I5" s="488"/>
      <c r="L5" s="116"/>
      <c r="M5" s="152"/>
      <c r="N5" s="153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6"/>
    </row>
    <row r="6" spans="1:31" ht="18.600000000000001" thickBot="1">
      <c r="B6" s="489" t="s">
        <v>136</v>
      </c>
      <c r="C6" s="492" t="s">
        <v>137</v>
      </c>
      <c r="D6" s="493"/>
      <c r="E6" s="496" t="s">
        <v>138</v>
      </c>
      <c r="F6" s="497"/>
      <c r="G6" s="116"/>
      <c r="H6" s="116"/>
      <c r="I6" s="116"/>
      <c r="K6" s="154"/>
      <c r="L6" s="146" t="s">
        <v>135</v>
      </c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6"/>
    </row>
    <row r="7" spans="1:31" ht="15" customHeight="1" thickBot="1">
      <c r="B7" s="490"/>
      <c r="C7" s="494"/>
      <c r="D7" s="495"/>
      <c r="E7" s="498" t="s">
        <v>139</v>
      </c>
      <c r="F7" s="499"/>
      <c r="H7" s="63"/>
      <c r="K7" s="138"/>
      <c r="L7" s="508" t="s">
        <v>154</v>
      </c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509"/>
      <c r="Z7" s="509"/>
      <c r="AA7" s="509"/>
      <c r="AB7" s="509"/>
      <c r="AC7" s="509"/>
      <c r="AD7" s="510"/>
      <c r="AE7" s="166"/>
    </row>
    <row r="8" spans="1:31" ht="15" customHeight="1" thickBot="1">
      <c r="B8" s="490"/>
      <c r="C8" s="500" t="s">
        <v>140</v>
      </c>
      <c r="D8" s="502" t="s">
        <v>141</v>
      </c>
      <c r="E8" s="500" t="s">
        <v>142</v>
      </c>
      <c r="F8" s="502" t="s">
        <v>143</v>
      </c>
      <c r="G8" s="504" t="s">
        <v>144</v>
      </c>
      <c r="H8" s="504" t="s">
        <v>145</v>
      </c>
      <c r="I8" s="506" t="s">
        <v>146</v>
      </c>
      <c r="K8" s="140"/>
      <c r="L8" s="476" t="s">
        <v>155</v>
      </c>
      <c r="M8" s="477"/>
      <c r="N8" s="477"/>
      <c r="O8" s="477"/>
      <c r="P8" s="477"/>
      <c r="Q8" s="478"/>
      <c r="R8" s="476" t="s">
        <v>156</v>
      </c>
      <c r="S8" s="477"/>
      <c r="T8" s="477"/>
      <c r="U8" s="477"/>
      <c r="V8" s="477"/>
      <c r="W8" s="478"/>
      <c r="X8" s="476" t="s">
        <v>173</v>
      </c>
      <c r="Y8" s="477"/>
      <c r="Z8" s="477"/>
      <c r="AA8" s="477"/>
      <c r="AB8" s="477"/>
      <c r="AC8" s="478"/>
      <c r="AD8" s="141" t="s">
        <v>0</v>
      </c>
      <c r="AE8" s="142"/>
    </row>
    <row r="9" spans="1:31" ht="76.5" customHeight="1" thickBot="1">
      <c r="B9" s="491"/>
      <c r="C9" s="501"/>
      <c r="D9" s="503"/>
      <c r="E9" s="501"/>
      <c r="F9" s="503"/>
      <c r="G9" s="505"/>
      <c r="H9" s="505"/>
      <c r="I9" s="507"/>
      <c r="K9" s="137" t="s">
        <v>136</v>
      </c>
      <c r="L9" s="511" t="s">
        <v>158</v>
      </c>
      <c r="M9" s="482"/>
      <c r="N9" s="482"/>
      <c r="O9" s="482" t="s">
        <v>159</v>
      </c>
      <c r="P9" s="482"/>
      <c r="Q9" s="483"/>
      <c r="R9" s="484" t="s">
        <v>158</v>
      </c>
      <c r="S9" s="482"/>
      <c r="T9" s="482"/>
      <c r="U9" s="482" t="s">
        <v>159</v>
      </c>
      <c r="V9" s="482"/>
      <c r="W9" s="483"/>
      <c r="X9" s="484" t="s">
        <v>158</v>
      </c>
      <c r="Y9" s="482"/>
      <c r="Z9" s="482"/>
      <c r="AA9" s="482" t="s">
        <v>159</v>
      </c>
      <c r="AB9" s="482"/>
      <c r="AC9" s="483"/>
      <c r="AD9" t="s">
        <v>172</v>
      </c>
      <c r="AE9" s="139" t="s">
        <v>157</v>
      </c>
    </row>
    <row r="10" spans="1:31" ht="15" thickBot="1">
      <c r="B10" s="117" t="s">
        <v>147</v>
      </c>
      <c r="C10" s="118">
        <v>3</v>
      </c>
      <c r="D10" s="119">
        <v>10</v>
      </c>
      <c r="E10" s="120">
        <v>20</v>
      </c>
      <c r="F10" s="121">
        <v>6</v>
      </c>
      <c r="G10" s="120">
        <v>120</v>
      </c>
      <c r="H10" s="121">
        <v>72</v>
      </c>
      <c r="I10" s="122">
        <f>MROUND(G10*$G$20+H10*$G$21,100)</f>
        <v>58700</v>
      </c>
      <c r="K10" s="130" t="s">
        <v>147</v>
      </c>
      <c r="L10" s="479">
        <v>2500</v>
      </c>
      <c r="M10" s="480"/>
      <c r="N10" s="480"/>
      <c r="O10" s="480"/>
      <c r="P10" s="480"/>
      <c r="Q10" s="481"/>
      <c r="R10" s="479">
        <v>2100</v>
      </c>
      <c r="S10" s="480"/>
      <c r="T10" s="480"/>
      <c r="U10" s="480"/>
      <c r="V10" s="480"/>
      <c r="W10" s="481"/>
      <c r="X10" s="479">
        <v>600</v>
      </c>
      <c r="Y10" s="480"/>
      <c r="Z10" s="480"/>
      <c r="AA10" s="480"/>
      <c r="AB10" s="480"/>
      <c r="AC10" s="481"/>
      <c r="AD10" s="143">
        <f t="shared" ref="AD10" si="0">SUM(L10:AC10)</f>
        <v>5200</v>
      </c>
      <c r="AE10" s="144">
        <f>MROUND(AD10*$S$20,100)</f>
        <v>1575600</v>
      </c>
    </row>
    <row r="11" spans="1:31">
      <c r="B11" s="124"/>
      <c r="E11" s="125"/>
      <c r="F11" s="125"/>
      <c r="G11" s="125"/>
      <c r="H11" s="125"/>
      <c r="I11" s="126"/>
      <c r="AE11" s="145"/>
    </row>
    <row r="12" spans="1:31" ht="18">
      <c r="G12" s="26"/>
      <c r="H12" s="26"/>
      <c r="I12" s="26"/>
      <c r="L12" s="152"/>
      <c r="M12" s="152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6"/>
    </row>
    <row r="13" spans="1:31" ht="21.6" thickBot="1">
      <c r="C13" s="485" t="s">
        <v>148</v>
      </c>
      <c r="D13" s="486"/>
      <c r="G13" s="512"/>
      <c r="H13" s="513"/>
      <c r="I13" s="513"/>
      <c r="K13" s="158"/>
      <c r="L13" s="152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16"/>
    </row>
    <row r="14" spans="1:31" ht="15" customHeight="1" thickBot="1">
      <c r="B14" s="489" t="s">
        <v>136</v>
      </c>
      <c r="C14" s="492" t="s">
        <v>137</v>
      </c>
      <c r="D14" s="493"/>
      <c r="E14" s="514" t="s">
        <v>138</v>
      </c>
      <c r="F14" s="515"/>
      <c r="G14" s="26"/>
      <c r="H14" s="26"/>
      <c r="I14" s="26"/>
      <c r="K14" s="160"/>
      <c r="L14" s="146" t="s">
        <v>148</v>
      </c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4"/>
      <c r="AE14" s="165"/>
    </row>
    <row r="15" spans="1:31" ht="15" thickBot="1">
      <c r="B15" s="490"/>
      <c r="C15" s="494"/>
      <c r="D15" s="495"/>
      <c r="E15" s="498" t="s">
        <v>139</v>
      </c>
      <c r="F15" s="516"/>
      <c r="G15" s="127"/>
      <c r="H15" s="128"/>
      <c r="I15" s="129"/>
      <c r="K15" s="521" t="s">
        <v>136</v>
      </c>
      <c r="L15" s="508" t="s">
        <v>154</v>
      </c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509"/>
      <c r="Z15" s="509"/>
      <c r="AA15" s="509"/>
      <c r="AB15" s="509"/>
      <c r="AC15" s="509"/>
      <c r="AD15" s="510"/>
      <c r="AE15" s="161"/>
    </row>
    <row r="16" spans="1:31" ht="14.4" customHeight="1" thickBot="1">
      <c r="B16" s="490"/>
      <c r="C16" s="517" t="s">
        <v>140</v>
      </c>
      <c r="D16" s="502" t="s">
        <v>141</v>
      </c>
      <c r="E16" s="500" t="s">
        <v>142</v>
      </c>
      <c r="F16" s="519" t="s">
        <v>143</v>
      </c>
      <c r="G16" s="504" t="s">
        <v>149</v>
      </c>
      <c r="H16" s="504" t="s">
        <v>145</v>
      </c>
      <c r="I16" s="506" t="s">
        <v>146</v>
      </c>
      <c r="K16" s="522"/>
      <c r="L16" s="471" t="s">
        <v>155</v>
      </c>
      <c r="M16" s="472"/>
      <c r="N16" s="472"/>
      <c r="O16" s="472"/>
      <c r="P16" s="472"/>
      <c r="Q16" s="475"/>
      <c r="R16" s="471" t="s">
        <v>156</v>
      </c>
      <c r="S16" s="472"/>
      <c r="T16" s="472"/>
      <c r="U16" s="472"/>
      <c r="V16" s="472"/>
      <c r="W16" s="475"/>
      <c r="X16" s="471" t="s">
        <v>143</v>
      </c>
      <c r="Y16" s="472"/>
      <c r="Z16" s="472"/>
      <c r="AA16" s="472"/>
      <c r="AB16" s="472"/>
      <c r="AC16" s="475"/>
      <c r="AD16" s="157" t="s">
        <v>0</v>
      </c>
      <c r="AE16" s="162"/>
    </row>
    <row r="17" spans="2:31" ht="65.400000000000006" customHeight="1" thickBot="1">
      <c r="B17" s="491"/>
      <c r="C17" s="518"/>
      <c r="D17" s="503"/>
      <c r="E17" s="501"/>
      <c r="F17" s="520"/>
      <c r="G17" s="505"/>
      <c r="H17" s="505"/>
      <c r="I17" s="507"/>
      <c r="K17" s="140" t="s">
        <v>136</v>
      </c>
      <c r="L17" s="471" t="s">
        <v>158</v>
      </c>
      <c r="M17" s="472"/>
      <c r="N17" s="473"/>
      <c r="O17" s="474" t="s">
        <v>159</v>
      </c>
      <c r="P17" s="472"/>
      <c r="Q17" s="475"/>
      <c r="R17" s="471" t="s">
        <v>158</v>
      </c>
      <c r="S17" s="472"/>
      <c r="T17" s="473"/>
      <c r="U17" s="474" t="s">
        <v>159</v>
      </c>
      <c r="V17" s="472"/>
      <c r="W17" s="475"/>
      <c r="X17" s="471" t="s">
        <v>158</v>
      </c>
      <c r="Y17" s="472"/>
      <c r="Z17" s="473"/>
      <c r="AA17" s="474" t="s">
        <v>159</v>
      </c>
      <c r="AB17" s="472"/>
      <c r="AC17" s="475"/>
      <c r="AD17" t="s">
        <v>0</v>
      </c>
      <c r="AE17" s="139" t="s">
        <v>157</v>
      </c>
    </row>
    <row r="18" spans="2:31" ht="15" thickBot="1">
      <c r="B18" s="130" t="s">
        <v>150</v>
      </c>
      <c r="C18" s="118">
        <v>2.5</v>
      </c>
      <c r="D18" s="131">
        <v>2.60869565217391</v>
      </c>
      <c r="E18" s="120">
        <v>24</v>
      </c>
      <c r="F18" s="121">
        <v>23</v>
      </c>
      <c r="G18" s="120">
        <v>144</v>
      </c>
      <c r="H18" s="121">
        <v>276</v>
      </c>
      <c r="I18" s="122">
        <f>MROUND(G18*$G$20+H18*$G$21,100)</f>
        <v>144400</v>
      </c>
      <c r="K18" s="130" t="s">
        <v>150</v>
      </c>
      <c r="L18" s="523">
        <v>6900</v>
      </c>
      <c r="M18" s="524"/>
      <c r="N18" s="524"/>
      <c r="O18" s="524"/>
      <c r="P18" s="524"/>
      <c r="Q18" s="525"/>
      <c r="R18" s="523">
        <v>4500</v>
      </c>
      <c r="S18" s="524"/>
      <c r="T18" s="524"/>
      <c r="U18" s="524"/>
      <c r="V18" s="524"/>
      <c r="W18" s="525"/>
      <c r="X18" s="523">
        <v>12200</v>
      </c>
      <c r="Y18" s="524"/>
      <c r="Z18" s="524"/>
      <c r="AA18" s="524"/>
      <c r="AB18" s="524"/>
      <c r="AC18" s="525"/>
      <c r="AD18" s="147">
        <f t="shared" ref="AD18" si="1">SUM(L18:AC18)</f>
        <v>23600</v>
      </c>
      <c r="AE18" s="148">
        <f>MROUND(AD18*$S$20,100)</f>
        <v>7150800</v>
      </c>
    </row>
    <row r="19" spans="2:31">
      <c r="B19" s="124"/>
      <c r="G19" s="26"/>
      <c r="H19" s="26"/>
      <c r="I19" s="126"/>
    </row>
    <row r="20" spans="2:31">
      <c r="B20" s="132" t="s">
        <v>151</v>
      </c>
      <c r="G20" s="133">
        <f>DelayAuto!C8</f>
        <v>255</v>
      </c>
      <c r="H20" s="133"/>
      <c r="K20" s="132" t="s">
        <v>160</v>
      </c>
      <c r="S20" s="133">
        <v>303</v>
      </c>
    </row>
    <row r="21" spans="2:31" ht="14.4" customHeight="1">
      <c r="B21" s="134" t="s">
        <v>152</v>
      </c>
      <c r="G21" s="133">
        <v>390</v>
      </c>
      <c r="H21" s="133"/>
      <c r="K21" s="132" t="s">
        <v>161</v>
      </c>
      <c r="M21" s="133"/>
      <c r="S21" s="133">
        <v>290</v>
      </c>
    </row>
    <row r="22" spans="2:31" ht="31.2" customHeight="1">
      <c r="B22" s="63" t="s">
        <v>169</v>
      </c>
      <c r="C22" s="63"/>
      <c r="D22" s="63"/>
      <c r="E22" s="63"/>
      <c r="F22" s="63"/>
      <c r="G22" s="63"/>
      <c r="H22" s="63"/>
      <c r="I22" s="63"/>
      <c r="K22" s="469" t="s">
        <v>168</v>
      </c>
      <c r="L22" s="469"/>
      <c r="M22" s="469"/>
      <c r="N22" s="469"/>
      <c r="O22" s="469"/>
      <c r="P22" s="469"/>
      <c r="Q22" s="469"/>
      <c r="R22" s="469"/>
      <c r="S22" s="469"/>
      <c r="T22" s="469"/>
      <c r="U22" s="469"/>
      <c r="V22" s="469"/>
      <c r="W22" s="469"/>
      <c r="X22" s="469"/>
      <c r="Y22" s="469"/>
      <c r="Z22" s="469"/>
      <c r="AA22" s="469"/>
      <c r="AB22" s="469"/>
      <c r="AC22" s="469"/>
      <c r="AD22" s="469"/>
      <c r="AE22" s="469"/>
    </row>
    <row r="25" spans="2:31" ht="28.2" customHeight="1">
      <c r="J25" s="149"/>
    </row>
  </sheetData>
  <mergeCells count="54">
    <mergeCell ref="K22:AE22"/>
    <mergeCell ref="L10:Q10"/>
    <mergeCell ref="R10:W10"/>
    <mergeCell ref="D16:D17"/>
    <mergeCell ref="E16:E17"/>
    <mergeCell ref="F16:F17"/>
    <mergeCell ref="G16:G17"/>
    <mergeCell ref="H16:H17"/>
    <mergeCell ref="I16:I17"/>
    <mergeCell ref="R16:W16"/>
    <mergeCell ref="L16:Q16"/>
    <mergeCell ref="L15:AD15"/>
    <mergeCell ref="K15:K16"/>
    <mergeCell ref="L18:Q18"/>
    <mergeCell ref="R18:W18"/>
    <mergeCell ref="X18:AC18"/>
    <mergeCell ref="C13:D13"/>
    <mergeCell ref="G13:I13"/>
    <mergeCell ref="B14:B17"/>
    <mergeCell ref="C14:D15"/>
    <mergeCell ref="E14:F14"/>
    <mergeCell ref="E15:F15"/>
    <mergeCell ref="C16:C17"/>
    <mergeCell ref="AA17:AC17"/>
    <mergeCell ref="C5:D5"/>
    <mergeCell ref="G5:I5"/>
    <mergeCell ref="B6:B9"/>
    <mergeCell ref="C6:D7"/>
    <mergeCell ref="E6:F6"/>
    <mergeCell ref="E7:F7"/>
    <mergeCell ref="C8:C9"/>
    <mergeCell ref="D8:D9"/>
    <mergeCell ref="E8:E9"/>
    <mergeCell ref="F8:F9"/>
    <mergeCell ref="H8:H9"/>
    <mergeCell ref="I8:I9"/>
    <mergeCell ref="G8:G9"/>
    <mergeCell ref="L7:AD7"/>
    <mergeCell ref="L9:N9"/>
    <mergeCell ref="L8:Q8"/>
    <mergeCell ref="R8:W8"/>
    <mergeCell ref="X8:AC8"/>
    <mergeCell ref="X10:AC10"/>
    <mergeCell ref="X16:AC16"/>
    <mergeCell ref="O9:Q9"/>
    <mergeCell ref="R9:T9"/>
    <mergeCell ref="U9:W9"/>
    <mergeCell ref="X9:Z9"/>
    <mergeCell ref="AA9:AC9"/>
    <mergeCell ref="L17:N17"/>
    <mergeCell ref="O17:Q17"/>
    <mergeCell ref="R17:T17"/>
    <mergeCell ref="U17:W17"/>
    <mergeCell ref="X17:Z17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5EBD0-DE11-445B-821A-98E45AABD895}">
  <dimension ref="B1:AG50"/>
  <sheetViews>
    <sheetView showGridLines="0" zoomScale="80" zoomScaleNormal="80" workbookViewId="0">
      <selection activeCell="B16" sqref="B16"/>
    </sheetView>
  </sheetViews>
  <sheetFormatPr defaultColWidth="9.109375" defaultRowHeight="14.4"/>
  <cols>
    <col min="1" max="1" width="2.5546875" style="125" customWidth="1"/>
    <col min="2" max="2" width="22.5546875" style="125" customWidth="1"/>
    <col min="3" max="6" width="7.6640625" style="125" customWidth="1"/>
    <col min="7" max="7" width="7.88671875" style="125" bestFit="1" customWidth="1"/>
    <col min="8" max="8" width="2.109375" style="125" customWidth="1"/>
    <col min="9" max="9" width="22" style="125" customWidth="1"/>
    <col min="10" max="13" width="6.6640625" style="125" customWidth="1"/>
    <col min="14" max="14" width="9.109375" style="125" customWidth="1"/>
    <col min="15" max="15" width="2.5546875" style="125" customWidth="1"/>
    <col min="16" max="16" width="22.33203125" style="125" customWidth="1"/>
    <col min="17" max="20" width="6.6640625" style="125" customWidth="1"/>
    <col min="21" max="21" width="9.109375" style="125"/>
    <col min="22" max="22" width="0.88671875" style="125" customWidth="1"/>
    <col min="23" max="23" width="2.109375" style="125" customWidth="1"/>
    <col min="24" max="16384" width="9.109375" style="125"/>
  </cols>
  <sheetData>
    <row r="1" spans="2:33">
      <c r="B1" s="7" t="s">
        <v>395</v>
      </c>
    </row>
    <row r="2" spans="2:33">
      <c r="B2" s="418" t="s">
        <v>413</v>
      </c>
    </row>
    <row r="4" spans="2:33" ht="31.5" customHeight="1">
      <c r="B4" s="369" t="s">
        <v>206</v>
      </c>
      <c r="C4" s="176"/>
      <c r="D4" s="176"/>
      <c r="E4" s="176"/>
      <c r="F4" s="176"/>
      <c r="G4" s="176"/>
      <c r="H4" s="176"/>
      <c r="I4" s="529" t="s">
        <v>214</v>
      </c>
      <c r="J4" s="529"/>
      <c r="K4" s="529"/>
      <c r="L4" s="529"/>
      <c r="M4" s="529"/>
      <c r="N4" s="529"/>
      <c r="P4" s="529" t="s">
        <v>213</v>
      </c>
      <c r="Q4" s="529"/>
      <c r="R4" s="529"/>
      <c r="S4" s="529"/>
      <c r="T4" s="529"/>
      <c r="U4" s="529"/>
    </row>
    <row r="5" spans="2:33" s="177" customFormat="1" ht="30" customHeight="1">
      <c r="C5" s="528" t="s">
        <v>191</v>
      </c>
      <c r="D5" s="528"/>
      <c r="E5" s="528"/>
      <c r="F5" s="528"/>
      <c r="G5" s="188"/>
      <c r="H5" s="178"/>
      <c r="I5" s="125"/>
      <c r="J5" s="528" t="s">
        <v>191</v>
      </c>
      <c r="K5" s="528"/>
      <c r="L5" s="528"/>
      <c r="M5" s="528"/>
      <c r="N5" s="188"/>
      <c r="P5" s="125"/>
      <c r="Q5" s="528" t="s">
        <v>191</v>
      </c>
      <c r="R5" s="528"/>
      <c r="S5" s="528"/>
      <c r="T5" s="528"/>
      <c r="U5" s="188"/>
      <c r="X5" s="530" t="s">
        <v>192</v>
      </c>
      <c r="Y5" s="530"/>
      <c r="Z5" s="530"/>
      <c r="AA5" s="530"/>
      <c r="AB5" s="179"/>
      <c r="AC5" s="179"/>
      <c r="AD5" s="530" t="s">
        <v>193</v>
      </c>
      <c r="AE5" s="530"/>
      <c r="AF5" s="530"/>
      <c r="AG5" s="530"/>
    </row>
    <row r="6" spans="2:33" s="177" customFormat="1" ht="17.25" customHeight="1">
      <c r="C6" s="527" t="s">
        <v>194</v>
      </c>
      <c r="D6" s="527"/>
      <c r="E6" s="527"/>
      <c r="F6" s="527"/>
      <c r="G6" s="284"/>
      <c r="I6" s="125"/>
      <c r="J6" s="527" t="s">
        <v>194</v>
      </c>
      <c r="K6" s="527"/>
      <c r="L6" s="527"/>
      <c r="M6" s="527"/>
      <c r="N6" s="284"/>
      <c r="P6" s="125"/>
      <c r="Q6" s="527" t="s">
        <v>194</v>
      </c>
      <c r="R6" s="527"/>
      <c r="S6" s="527"/>
      <c r="T6" s="527"/>
      <c r="U6" s="189"/>
      <c r="X6" s="531" t="s">
        <v>194</v>
      </c>
      <c r="Y6" s="531"/>
      <c r="Z6" s="531"/>
      <c r="AA6" s="531"/>
      <c r="AB6" s="180"/>
      <c r="AC6" s="180"/>
      <c r="AD6" s="531" t="s">
        <v>194</v>
      </c>
      <c r="AE6" s="531"/>
      <c r="AF6" s="531"/>
      <c r="AG6" s="531"/>
    </row>
    <row r="7" spans="2:33" ht="20.25" customHeight="1">
      <c r="C7" s="192" t="s">
        <v>209</v>
      </c>
      <c r="D7" s="192" t="s">
        <v>210</v>
      </c>
      <c r="E7" s="192" t="s">
        <v>211</v>
      </c>
      <c r="F7" s="192" t="s">
        <v>212</v>
      </c>
      <c r="G7" s="192" t="s">
        <v>0</v>
      </c>
      <c r="J7" s="192" t="s">
        <v>209</v>
      </c>
      <c r="K7" s="192" t="s">
        <v>210</v>
      </c>
      <c r="L7" s="192" t="s">
        <v>211</v>
      </c>
      <c r="M7" s="192" t="s">
        <v>212</v>
      </c>
      <c r="N7" s="192" t="s">
        <v>0</v>
      </c>
      <c r="Q7" s="192" t="s">
        <v>209</v>
      </c>
      <c r="R7" s="192" t="s">
        <v>210</v>
      </c>
      <c r="S7" s="192" t="s">
        <v>211</v>
      </c>
      <c r="T7" s="192" t="s">
        <v>212</v>
      </c>
      <c r="U7" s="192" t="s">
        <v>0</v>
      </c>
      <c r="X7" s="181" t="s">
        <v>195</v>
      </c>
      <c r="Y7" s="181" t="s">
        <v>196</v>
      </c>
      <c r="Z7" s="181" t="s">
        <v>197</v>
      </c>
      <c r="AA7" s="181" t="s">
        <v>198</v>
      </c>
      <c r="AB7" s="180" t="s">
        <v>0</v>
      </c>
      <c r="AC7" s="180"/>
      <c r="AD7" s="181" t="s">
        <v>195</v>
      </c>
      <c r="AE7" s="181" t="s">
        <v>196</v>
      </c>
      <c r="AF7" s="181" t="s">
        <v>197</v>
      </c>
      <c r="AG7" s="181" t="s">
        <v>198</v>
      </c>
    </row>
    <row r="8" spans="2:33" ht="20.100000000000001" customHeight="1">
      <c r="B8" s="182" t="s">
        <v>199</v>
      </c>
      <c r="C8" s="183">
        <f>X8+AD8</f>
        <v>9</v>
      </c>
      <c r="D8" s="183" t="s">
        <v>132</v>
      </c>
      <c r="E8" s="183">
        <f>Z8+AF8</f>
        <v>10</v>
      </c>
      <c r="F8" s="183">
        <f>AA8+AG8</f>
        <v>29</v>
      </c>
      <c r="G8" s="183">
        <f>SUM(C8:F8)</f>
        <v>48</v>
      </c>
      <c r="H8" s="184"/>
      <c r="I8" s="182" t="s">
        <v>199</v>
      </c>
      <c r="J8" s="183">
        <v>97</v>
      </c>
      <c r="K8" s="183" t="s">
        <v>132</v>
      </c>
      <c r="L8" s="183">
        <v>37</v>
      </c>
      <c r="M8" s="183">
        <v>37</v>
      </c>
      <c r="N8" s="183">
        <f>SUM(J8:M8)</f>
        <v>171</v>
      </c>
      <c r="P8" s="182" t="s">
        <v>199</v>
      </c>
      <c r="Q8" s="183">
        <v>97</v>
      </c>
      <c r="R8" s="183" t="s">
        <v>132</v>
      </c>
      <c r="S8" s="183">
        <v>37</v>
      </c>
      <c r="T8" s="183">
        <v>37</v>
      </c>
      <c r="U8" s="183">
        <f>SUM(Q8:T8)</f>
        <v>171</v>
      </c>
      <c r="X8" s="183">
        <v>0</v>
      </c>
      <c r="Y8" s="183">
        <v>1</v>
      </c>
      <c r="Z8" s="183">
        <v>0</v>
      </c>
      <c r="AA8" s="183">
        <v>0</v>
      </c>
      <c r="AB8" s="176">
        <f t="shared" ref="AB8:AB9" si="0">SUM(X8:AA8)</f>
        <v>1</v>
      </c>
      <c r="AC8" s="176"/>
      <c r="AD8" s="183">
        <v>9</v>
      </c>
      <c r="AE8" s="183">
        <v>0</v>
      </c>
      <c r="AF8" s="183">
        <v>10</v>
      </c>
      <c r="AG8" s="183">
        <v>29</v>
      </c>
    </row>
    <row r="9" spans="2:33" ht="20.100000000000001" customHeight="1">
      <c r="B9" s="182" t="s">
        <v>200</v>
      </c>
      <c r="C9" s="183">
        <f>X9+AD9</f>
        <v>1</v>
      </c>
      <c r="D9" s="183">
        <f>Y9+AE9</f>
        <v>27</v>
      </c>
      <c r="E9" s="183">
        <f>Z9+AF9</f>
        <v>6</v>
      </c>
      <c r="F9" s="183">
        <f>AA9+AG9</f>
        <v>28</v>
      </c>
      <c r="G9" s="183">
        <f>SUM(C9:F9)</f>
        <v>62</v>
      </c>
      <c r="H9" s="185"/>
      <c r="I9" s="182" t="s">
        <v>200</v>
      </c>
      <c r="J9" s="183">
        <v>0</v>
      </c>
      <c r="K9" s="183">
        <v>56</v>
      </c>
      <c r="L9" s="183">
        <v>6</v>
      </c>
      <c r="M9" s="183">
        <v>56</v>
      </c>
      <c r="N9" s="183">
        <f>SUM(J9:M9)</f>
        <v>118</v>
      </c>
      <c r="P9" s="182" t="s">
        <v>200</v>
      </c>
      <c r="Q9" s="183">
        <v>0</v>
      </c>
      <c r="R9" s="183">
        <v>56</v>
      </c>
      <c r="S9" s="183">
        <v>6</v>
      </c>
      <c r="T9" s="183">
        <v>56</v>
      </c>
      <c r="U9" s="183">
        <f>SUM(Q9:T9)</f>
        <v>118</v>
      </c>
      <c r="X9" s="183">
        <v>1</v>
      </c>
      <c r="Y9" s="183">
        <v>1</v>
      </c>
      <c r="Z9" s="183">
        <v>0</v>
      </c>
      <c r="AA9" s="183">
        <v>2</v>
      </c>
      <c r="AB9" s="176">
        <f t="shared" si="0"/>
        <v>4</v>
      </c>
      <c r="AC9" s="176"/>
      <c r="AD9" s="183">
        <v>0</v>
      </c>
      <c r="AE9" s="183">
        <v>26</v>
      </c>
      <c r="AF9" s="183">
        <v>6</v>
      </c>
      <c r="AG9" s="183">
        <v>26</v>
      </c>
    </row>
    <row r="10" spans="2:33" ht="20.100000000000001" customHeight="1">
      <c r="B10" s="186" t="s">
        <v>201</v>
      </c>
      <c r="C10" s="176"/>
      <c r="D10" s="176"/>
      <c r="E10" s="176"/>
      <c r="F10" s="176"/>
      <c r="G10" s="176"/>
      <c r="H10" s="176"/>
      <c r="I10" s="187" t="s">
        <v>202</v>
      </c>
      <c r="P10" s="187" t="s">
        <v>202</v>
      </c>
    </row>
    <row r="11" spans="2:33" ht="20.100000000000001" customHeight="1">
      <c r="C11" s="526" t="s">
        <v>204</v>
      </c>
      <c r="D11" s="526"/>
      <c r="E11" s="526"/>
      <c r="F11" s="526"/>
      <c r="J11" s="526" t="s">
        <v>204</v>
      </c>
      <c r="K11" s="526"/>
      <c r="L11" s="526"/>
      <c r="M11" s="526"/>
      <c r="N11" s="187"/>
      <c r="Q11" s="526" t="s">
        <v>204</v>
      </c>
      <c r="R11" s="526"/>
      <c r="S11" s="526"/>
      <c r="T11" s="526"/>
      <c r="U11" s="187"/>
    </row>
    <row r="12" spans="2:33" ht="20.100000000000001" customHeight="1">
      <c r="B12" s="177"/>
      <c r="C12" s="527" t="s">
        <v>194</v>
      </c>
      <c r="D12" s="527"/>
      <c r="E12" s="527"/>
      <c r="F12" s="527"/>
      <c r="I12" s="177"/>
      <c r="J12" s="527" t="s">
        <v>194</v>
      </c>
      <c r="K12" s="527"/>
      <c r="L12" s="527"/>
      <c r="M12" s="527"/>
      <c r="N12" s="187"/>
      <c r="P12" s="177"/>
      <c r="Q12" s="527" t="s">
        <v>194</v>
      </c>
      <c r="R12" s="527"/>
      <c r="S12" s="527"/>
      <c r="T12" s="527"/>
      <c r="U12" s="187"/>
    </row>
    <row r="13" spans="2:33" ht="20.100000000000001" customHeight="1">
      <c r="C13" s="192" t="s">
        <v>209</v>
      </c>
      <c r="D13" s="192" t="s">
        <v>210</v>
      </c>
      <c r="E13" s="192" t="s">
        <v>211</v>
      </c>
      <c r="F13" s="192" t="s">
        <v>212</v>
      </c>
      <c r="J13" s="192" t="s">
        <v>209</v>
      </c>
      <c r="K13" s="192" t="s">
        <v>210</v>
      </c>
      <c r="L13" s="192" t="s">
        <v>211</v>
      </c>
      <c r="M13" s="192" t="s">
        <v>212</v>
      </c>
      <c r="N13" s="187"/>
      <c r="Q13" s="192" t="s">
        <v>209</v>
      </c>
      <c r="R13" s="192" t="s">
        <v>210</v>
      </c>
      <c r="S13" s="192" t="s">
        <v>211</v>
      </c>
      <c r="T13" s="192" t="s">
        <v>212</v>
      </c>
      <c r="U13" s="187"/>
    </row>
    <row r="14" spans="2:33" ht="20.100000000000001" customHeight="1">
      <c r="B14" s="182" t="s">
        <v>199</v>
      </c>
      <c r="C14" s="183">
        <v>48</v>
      </c>
      <c r="D14" s="183" t="s">
        <v>132</v>
      </c>
      <c r="E14" s="183">
        <v>55</v>
      </c>
      <c r="F14" s="183">
        <v>51</v>
      </c>
      <c r="I14" s="182" t="s">
        <v>199</v>
      </c>
      <c r="J14" s="183">
        <f>C14</f>
        <v>48</v>
      </c>
      <c r="K14" s="183" t="str">
        <f t="shared" ref="K14:K15" si="1">D14</f>
        <v>n.a.</v>
      </c>
      <c r="L14" s="183">
        <f t="shared" ref="L14:L15" si="2">E14</f>
        <v>55</v>
      </c>
      <c r="M14" s="183">
        <f t="shared" ref="M14:M15" si="3">F14</f>
        <v>51</v>
      </c>
      <c r="N14" s="187"/>
      <c r="P14" s="182" t="s">
        <v>199</v>
      </c>
      <c r="Q14" s="183">
        <v>22</v>
      </c>
      <c r="R14" s="183" t="s">
        <v>132</v>
      </c>
      <c r="S14" s="183">
        <v>17</v>
      </c>
      <c r="T14" s="183">
        <v>7</v>
      </c>
      <c r="U14" s="187"/>
    </row>
    <row r="15" spans="2:33" ht="20.100000000000001" customHeight="1">
      <c r="B15" s="182" t="s">
        <v>200</v>
      </c>
      <c r="C15" s="183" t="s">
        <v>132</v>
      </c>
      <c r="D15" s="183" t="s">
        <v>132</v>
      </c>
      <c r="E15" s="183">
        <v>44</v>
      </c>
      <c r="F15" s="183">
        <v>47</v>
      </c>
      <c r="I15" s="182" t="s">
        <v>200</v>
      </c>
      <c r="J15" s="183" t="str">
        <f t="shared" ref="J15" si="4">C15</f>
        <v>n.a.</v>
      </c>
      <c r="K15" s="183" t="str">
        <f t="shared" si="1"/>
        <v>n.a.</v>
      </c>
      <c r="L15" s="183">
        <f t="shared" si="2"/>
        <v>44</v>
      </c>
      <c r="M15" s="183">
        <f t="shared" si="3"/>
        <v>47</v>
      </c>
      <c r="N15" s="187"/>
      <c r="P15" s="182" t="s">
        <v>200</v>
      </c>
      <c r="Q15" s="183" t="s">
        <v>132</v>
      </c>
      <c r="R15" s="183">
        <v>25</v>
      </c>
      <c r="S15" s="183">
        <v>10</v>
      </c>
      <c r="T15" s="183">
        <v>11</v>
      </c>
      <c r="U15" s="187"/>
    </row>
    <row r="16" spans="2:33" ht="20.100000000000001" customHeight="1">
      <c r="B16" s="187" t="s">
        <v>263</v>
      </c>
      <c r="I16" s="187" t="s">
        <v>263</v>
      </c>
      <c r="J16" s="187"/>
      <c r="K16" s="187"/>
      <c r="L16" s="187"/>
      <c r="M16" s="187"/>
      <c r="N16" s="187"/>
      <c r="P16" s="187" t="s">
        <v>263</v>
      </c>
      <c r="Q16" s="187"/>
      <c r="R16" s="187"/>
      <c r="S16" s="187"/>
      <c r="T16" s="187"/>
      <c r="U16" s="187"/>
    </row>
    <row r="17" spans="2:21" ht="20.100000000000001" customHeight="1">
      <c r="B17" s="187"/>
    </row>
    <row r="18" spans="2:21" ht="29.25" customHeight="1">
      <c r="C18" s="528" t="s">
        <v>207</v>
      </c>
      <c r="D18" s="528"/>
      <c r="E18" s="528"/>
      <c r="F18" s="528"/>
      <c r="J18" s="528" t="s">
        <v>207</v>
      </c>
      <c r="K18" s="528"/>
      <c r="L18" s="528"/>
      <c r="M18" s="528"/>
      <c r="Q18" s="528" t="s">
        <v>207</v>
      </c>
      <c r="R18" s="528"/>
      <c r="S18" s="528"/>
      <c r="T18" s="528"/>
    </row>
    <row r="19" spans="2:21" ht="20.100000000000001" customHeight="1">
      <c r="B19" s="177"/>
      <c r="C19" s="527" t="s">
        <v>194</v>
      </c>
      <c r="D19" s="527"/>
      <c r="E19" s="527"/>
      <c r="F19" s="527"/>
      <c r="I19" s="177"/>
      <c r="J19" s="527" t="s">
        <v>194</v>
      </c>
      <c r="K19" s="527"/>
      <c r="L19" s="527"/>
      <c r="M19" s="527"/>
      <c r="P19" s="177"/>
      <c r="Q19" s="527" t="s">
        <v>194</v>
      </c>
      <c r="R19" s="527"/>
      <c r="S19" s="527"/>
      <c r="T19" s="527"/>
    </row>
    <row r="20" spans="2:21" ht="20.100000000000001" customHeight="1">
      <c r="C20" s="192" t="s">
        <v>209</v>
      </c>
      <c r="D20" s="192" t="s">
        <v>210</v>
      </c>
      <c r="E20" s="192" t="s">
        <v>211</v>
      </c>
      <c r="F20" s="368" t="s">
        <v>212</v>
      </c>
      <c r="G20" s="194" t="s">
        <v>0</v>
      </c>
      <c r="J20" s="192" t="s">
        <v>209</v>
      </c>
      <c r="K20" s="192" t="s">
        <v>210</v>
      </c>
      <c r="L20" s="192" t="s">
        <v>211</v>
      </c>
      <c r="M20" s="368" t="s">
        <v>212</v>
      </c>
      <c r="N20" s="194" t="s">
        <v>0</v>
      </c>
      <c r="Q20" s="192" t="s">
        <v>209</v>
      </c>
      <c r="R20" s="192" t="s">
        <v>210</v>
      </c>
      <c r="S20" s="192" t="s">
        <v>211</v>
      </c>
      <c r="T20" s="368" t="s">
        <v>212</v>
      </c>
      <c r="U20" s="194" t="s">
        <v>0</v>
      </c>
    </row>
    <row r="21" spans="2:21" ht="20.100000000000001" customHeight="1">
      <c r="B21" s="182" t="s">
        <v>199</v>
      </c>
      <c r="C21" s="190">
        <f>C14*C8</f>
        <v>432</v>
      </c>
      <c r="D21" s="190" t="s">
        <v>132</v>
      </c>
      <c r="E21" s="190">
        <f>E14*E8</f>
        <v>550</v>
      </c>
      <c r="F21" s="193">
        <f>F14*F8</f>
        <v>1479</v>
      </c>
      <c r="G21" s="195">
        <f>SUM(C21:F21)</f>
        <v>2461</v>
      </c>
      <c r="I21" s="182" t="s">
        <v>199</v>
      </c>
      <c r="J21" s="190">
        <f>J14*J8</f>
        <v>4656</v>
      </c>
      <c r="K21" s="190" t="s">
        <v>132</v>
      </c>
      <c r="L21" s="190">
        <f>L14*L8</f>
        <v>2035</v>
      </c>
      <c r="M21" s="193">
        <f>M14*M8</f>
        <v>1887</v>
      </c>
      <c r="N21" s="195">
        <f>SUM(J21:M21)</f>
        <v>8578</v>
      </c>
      <c r="P21" s="182" t="s">
        <v>199</v>
      </c>
      <c r="Q21" s="190">
        <f>Q14*Q8</f>
        <v>2134</v>
      </c>
      <c r="R21" s="190" t="s">
        <v>132</v>
      </c>
      <c r="S21" s="190">
        <f>S14*S8</f>
        <v>629</v>
      </c>
      <c r="T21" s="193">
        <f>T14*T8</f>
        <v>259</v>
      </c>
      <c r="U21" s="195">
        <f>SUM(Q21:T21)</f>
        <v>3022</v>
      </c>
    </row>
    <row r="22" spans="2:21" ht="20.100000000000001" customHeight="1">
      <c r="B22" s="182" t="s">
        <v>200</v>
      </c>
      <c r="C22" s="190" t="s">
        <v>132</v>
      </c>
      <c r="D22" s="190" t="s">
        <v>132</v>
      </c>
      <c r="E22" s="190">
        <f>E15*E9</f>
        <v>264</v>
      </c>
      <c r="F22" s="193">
        <f>F15*F9</f>
        <v>1316</v>
      </c>
      <c r="G22" s="195">
        <f>SUM(C22:F22)</f>
        <v>1580</v>
      </c>
      <c r="I22" s="182" t="s">
        <v>200</v>
      </c>
      <c r="J22" s="190" t="s">
        <v>132</v>
      </c>
      <c r="K22" s="190" t="s">
        <v>132</v>
      </c>
      <c r="L22" s="190">
        <f>L15*L9</f>
        <v>264</v>
      </c>
      <c r="M22" s="193">
        <f>M15*M9</f>
        <v>2632</v>
      </c>
      <c r="N22" s="195">
        <f>SUM(J22:M22)</f>
        <v>2896</v>
      </c>
      <c r="P22" s="182" t="s">
        <v>200</v>
      </c>
      <c r="Q22" s="190" t="s">
        <v>132</v>
      </c>
      <c r="R22" s="190" t="s">
        <v>132</v>
      </c>
      <c r="S22" s="190">
        <f>S15*S9</f>
        <v>60</v>
      </c>
      <c r="T22" s="193">
        <f>T15*T9</f>
        <v>616</v>
      </c>
      <c r="U22" s="195">
        <f>SUM(Q22:T22)</f>
        <v>676</v>
      </c>
    </row>
    <row r="23" spans="2:21" ht="20.100000000000001" customHeight="1">
      <c r="B23" s="187" t="s">
        <v>205</v>
      </c>
      <c r="C23" s="191"/>
      <c r="D23" s="191"/>
      <c r="E23" s="191"/>
      <c r="F23" s="191"/>
      <c r="G23" s="195">
        <f>SUM(G21:G22)/360*$F$25*$F$26</f>
        <v>13470</v>
      </c>
      <c r="I23" s="187" t="s">
        <v>205</v>
      </c>
      <c r="J23" s="191"/>
      <c r="K23" s="191"/>
      <c r="L23" s="191"/>
      <c r="M23" s="191"/>
      <c r="N23" s="195">
        <f>SUM(N21:N22)/360*$F$25*$F$26</f>
        <v>38246.666666666672</v>
      </c>
      <c r="P23" s="187" t="s">
        <v>205</v>
      </c>
      <c r="Q23" s="191"/>
      <c r="R23" s="191"/>
      <c r="S23" s="191"/>
      <c r="T23" s="191"/>
      <c r="U23" s="195">
        <f>SUM(U21:U22)/360*$F$25*$F$26</f>
        <v>12326.666666666666</v>
      </c>
    </row>
    <row r="24" spans="2:21" ht="20.100000000000001" customHeight="1">
      <c r="B24" s="187"/>
    </row>
    <row r="25" spans="2:21" ht="20.100000000000001" customHeight="1">
      <c r="B25" s="187" t="s">
        <v>224</v>
      </c>
      <c r="C25" s="191"/>
      <c r="D25" s="191"/>
      <c r="E25" s="191"/>
      <c r="F25" s="197">
        <v>4</v>
      </c>
      <c r="G25" s="187" t="s">
        <v>223</v>
      </c>
    </row>
    <row r="26" spans="2:21" ht="20.100000000000001" customHeight="1">
      <c r="B26" s="187" t="s">
        <v>203</v>
      </c>
      <c r="C26" s="191"/>
      <c r="D26" s="191"/>
      <c r="E26" s="191"/>
      <c r="F26" s="191">
        <v>300</v>
      </c>
      <c r="G26" s="187" t="s">
        <v>223</v>
      </c>
    </row>
    <row r="27" spans="2:21" ht="20.100000000000001" customHeight="1">
      <c r="C27" s="191"/>
      <c r="D27" s="191"/>
      <c r="E27" s="191"/>
      <c r="F27" s="191"/>
    </row>
    <row r="28" spans="2:21" ht="19.5" customHeight="1">
      <c r="B28" s="187" t="s">
        <v>208</v>
      </c>
    </row>
    <row r="29" spans="2:21" ht="20.100000000000001" customHeight="1">
      <c r="B29" s="187" t="s">
        <v>222</v>
      </c>
    </row>
    <row r="30" spans="2:21" ht="20.100000000000001" customHeight="1"/>
    <row r="31" spans="2:21" ht="20.100000000000001" customHeight="1"/>
    <row r="32" spans="2:21" s="187" customFormat="1" ht="20.100000000000001" customHeight="1"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</row>
    <row r="33" spans="9:21" s="187" customFormat="1" ht="20.100000000000001" customHeight="1"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</row>
    <row r="34" spans="9:21" s="187" customFormat="1" ht="20.100000000000001" customHeight="1"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</row>
    <row r="35" spans="9:21" s="187" customFormat="1" ht="20.100000000000001" customHeight="1"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</row>
    <row r="36" spans="9:21" s="187" customFormat="1" ht="20.100000000000001" customHeight="1"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</row>
    <row r="37" spans="9:21" s="187" customFormat="1" ht="20.100000000000001" customHeight="1"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</row>
    <row r="38" spans="9:21" s="187" customFormat="1" ht="20.100000000000001" customHeight="1"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</row>
    <row r="39" spans="9:21" ht="20.100000000000001" customHeight="1"/>
    <row r="40" spans="9:21" ht="20.100000000000001" customHeight="1"/>
    <row r="44" spans="9:21"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</row>
    <row r="45" spans="9:21"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</row>
    <row r="46" spans="9:21"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</row>
    <row r="47" spans="9:21"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</row>
    <row r="48" spans="9:21"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</row>
    <row r="49" spans="9:21"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</row>
    <row r="50" spans="9:21"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</row>
  </sheetData>
  <mergeCells count="24">
    <mergeCell ref="X5:AA5"/>
    <mergeCell ref="AD5:AG5"/>
    <mergeCell ref="C6:F6"/>
    <mergeCell ref="X6:AA6"/>
    <mergeCell ref="AD6:AG6"/>
    <mergeCell ref="Q5:T5"/>
    <mergeCell ref="Q6:T6"/>
    <mergeCell ref="C19:F19"/>
    <mergeCell ref="J18:M18"/>
    <mergeCell ref="J19:M19"/>
    <mergeCell ref="J5:M5"/>
    <mergeCell ref="J6:M6"/>
    <mergeCell ref="C5:F5"/>
    <mergeCell ref="C12:F12"/>
    <mergeCell ref="C11:F11"/>
    <mergeCell ref="J11:M11"/>
    <mergeCell ref="J12:M12"/>
    <mergeCell ref="C18:F18"/>
    <mergeCell ref="Q11:T11"/>
    <mergeCell ref="Q12:T12"/>
    <mergeCell ref="Q18:T18"/>
    <mergeCell ref="Q19:T19"/>
    <mergeCell ref="I4:N4"/>
    <mergeCell ref="P4:U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Assumptions</vt:lpstr>
      <vt:lpstr>Benefits-Cost-calcs</vt:lpstr>
      <vt:lpstr>Costs</vt:lpstr>
      <vt:lpstr>DelayAuto</vt:lpstr>
      <vt:lpstr>DiurnalSmry</vt:lpstr>
      <vt:lpstr>Diurnal</vt:lpstr>
      <vt:lpstr>Transit</vt:lpstr>
      <vt:lpstr>TransitOLD</vt:lpstr>
      <vt:lpstr>BikePed</vt:lpstr>
      <vt:lpstr>Collisions</vt:lpstr>
      <vt:lpstr>Fuel</vt:lpstr>
      <vt:lpstr>Emissions</vt:lpstr>
      <vt:lpstr>Prices</vt:lpstr>
      <vt:lpstr>_2018P</vt:lpstr>
      <vt:lpstr>_2019P</vt:lpstr>
      <vt:lpstr>gr_per_Mtonne</vt:lpstr>
      <vt:lpstr>gr_per_ton</vt:lpstr>
      <vt:lpstr>DelayAuto!Print_Area</vt:lpstr>
      <vt:lpstr>Truck_pct</vt:lpstr>
      <vt:lpstr>Veh_Occ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Yusuf, Fatuma/SAC</dc:creator>
  <cp:lastModifiedBy>Catherine Lander</cp:lastModifiedBy>
  <dcterms:created xsi:type="dcterms:W3CDTF">2018-07-05T14:19:59Z</dcterms:created>
  <dcterms:modified xsi:type="dcterms:W3CDTF">2019-07-12T18:09:52Z</dcterms:modified>
</cp:coreProperties>
</file>